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Jimmy/Team Shim Dropbox/Embers International HQ/Development/Grant Applications/Smith Family Foundation/"/>
    </mc:Choice>
  </mc:AlternateContent>
  <xr:revisionPtr revIDLastSave="0" documentId="13_ncr:1_{7B6D20BD-D784-2247-80E7-986100A08E27}" xr6:coauthVersionLast="47" xr6:coauthVersionMax="47" xr10:uidLastSave="{00000000-0000-0000-0000-000000000000}"/>
  <bookViews>
    <workbookView xWindow="1280" yWindow="500" windowWidth="35840" windowHeight="19680" xr2:uid="{3049AC46-C6BF-B741-A25B-8BC19ACDC343}"/>
  </bookViews>
  <sheets>
    <sheet name="Embers 2024 Budget" sheetId="25" r:id="rId1"/>
    <sheet name="2024 BUDGET" sheetId="23" state="hidden" r:id="rId2"/>
    <sheet name="2024 estimates" sheetId="24" state="hidden" r:id="rId3"/>
    <sheet name="Summary" sheetId="1" state="hidden" r:id="rId4"/>
    <sheet name="2024 Budget for HIM" sheetId="22" state="hidden" r:id="rId5"/>
    <sheet name="2024 proposed" sheetId="12" state="hidden" r:id="rId6"/>
    <sheet name="HQ staff" sheetId="2" state="hidden" r:id="rId7"/>
    <sheet name="Communications" sheetId="13" state="hidden" r:id="rId8"/>
    <sheet name="R3G2" sheetId="20" state="hidden" r:id="rId9"/>
    <sheet name="R3G2 - Haejin" sheetId="11" state="hidden" r:id="rId10"/>
    <sheet name="Sahasee Embers" sheetId="19" state="hidden" r:id="rId11"/>
    <sheet name="Legacy" sheetId="7" state="hidden" r:id="rId12"/>
    <sheet name="G.R.A.C.E." sheetId="4" state="hidden" r:id="rId13"/>
    <sheet name="GRACE Initiative - Haejin" sheetId="21" state="hidden" r:id="rId14"/>
    <sheet name="Cultural Center Staff" sheetId="15" state="hidden" r:id="rId15"/>
    <sheet name="GRACE Initiative Staff" sheetId="16" state="hidden" r:id="rId16"/>
    <sheet name="Legacy Education - Haejin" sheetId="17" state="hidden" r:id="rId17"/>
    <sheet name="Dev Other" sheetId="9" state="hidden" r:id="rId18"/>
    <sheet name="Admin" sheetId="3" state="hidden" r:id="rId19"/>
    <sheet name="Sahasee Embers - Haejin" sheetId="18" state="hidden" r:id="rId20"/>
  </sheets>
  <externalReferences>
    <externalReference r:id="rId21"/>
    <externalReference r:id="rId22"/>
    <externalReference r:id="rId23"/>
  </externalReferences>
  <definedNames>
    <definedName name="rate" localSheetId="1">'2024 BUDGET'!$C$1</definedName>
    <definedName name="rate" localSheetId="0">'Embers 2024 Budget'!#REF!</definedName>
    <definedName name="rate">Summary!$B$1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5" l="1"/>
  <c r="E6" i="25"/>
  <c r="F5" i="25" s="1"/>
  <c r="E34" i="25"/>
  <c r="E33" i="25"/>
  <c r="E32" i="25"/>
  <c r="E31" i="25"/>
  <c r="E30" i="25"/>
  <c r="E29" i="25"/>
  <c r="E28" i="25"/>
  <c r="E27" i="25"/>
  <c r="E23" i="25"/>
  <c r="E22" i="25"/>
  <c r="E21" i="25"/>
  <c r="E20" i="25"/>
  <c r="E16" i="25"/>
  <c r="E15" i="25"/>
  <c r="E12" i="25"/>
  <c r="E10" i="25"/>
  <c r="H7" i="24"/>
  <c r="F5" i="24"/>
  <c r="F7" i="24" s="1"/>
  <c r="D6" i="24"/>
  <c r="G6" i="24" s="1"/>
  <c r="D5" i="24"/>
  <c r="D7" i="24" s="1"/>
  <c r="D16" i="24"/>
  <c r="E15" i="24"/>
  <c r="H15" i="24" s="1"/>
  <c r="I21" i="23"/>
  <c r="G22" i="2"/>
  <c r="F22" i="2"/>
  <c r="E22" i="2"/>
  <c r="G17" i="2"/>
  <c r="F17" i="2"/>
  <c r="G16" i="2"/>
  <c r="F16" i="2"/>
  <c r="E12" i="2"/>
  <c r="E9" i="23"/>
  <c r="E41" i="23"/>
  <c r="E40" i="23"/>
  <c r="E39" i="23"/>
  <c r="E38" i="23"/>
  <c r="E37" i="23"/>
  <c r="E36" i="23"/>
  <c r="E35" i="23"/>
  <c r="E34" i="23"/>
  <c r="E30" i="23"/>
  <c r="E29" i="23"/>
  <c r="E28" i="23"/>
  <c r="E27" i="23"/>
  <c r="E23" i="23"/>
  <c r="I23" i="23" s="1"/>
  <c r="E22" i="23"/>
  <c r="I22" i="23" s="1"/>
  <c r="E19" i="23"/>
  <c r="E17" i="23"/>
  <c r="Q9" i="2"/>
  <c r="S9" i="2"/>
  <c r="R9" i="2"/>
  <c r="D133" i="22"/>
  <c r="D134" i="22"/>
  <c r="D129" i="22"/>
  <c r="D128" i="22"/>
  <c r="D127" i="22"/>
  <c r="D126" i="22"/>
  <c r="D125" i="22"/>
  <c r="D124" i="22"/>
  <c r="D120" i="22"/>
  <c r="D119" i="22"/>
  <c r="D118" i="22"/>
  <c r="D117" i="22"/>
  <c r="D113" i="22"/>
  <c r="D112" i="22"/>
  <c r="D111" i="22"/>
  <c r="D102" i="22"/>
  <c r="D101" i="22"/>
  <c r="D100" i="22"/>
  <c r="D96" i="22"/>
  <c r="D95" i="22"/>
  <c r="D94" i="22"/>
  <c r="D90" i="22"/>
  <c r="D91" i="22"/>
  <c r="D86" i="22"/>
  <c r="D85" i="22"/>
  <c r="D84" i="22"/>
  <c r="D83" i="22"/>
  <c r="D82" i="22"/>
  <c r="D78" i="22"/>
  <c r="D77" i="22"/>
  <c r="D76" i="22"/>
  <c r="D75" i="22"/>
  <c r="D74" i="22"/>
  <c r="D73" i="22"/>
  <c r="D72" i="22"/>
  <c r="D71" i="22"/>
  <c r="D70" i="22"/>
  <c r="D69" i="22"/>
  <c r="D68" i="22"/>
  <c r="D67" i="22"/>
  <c r="D66" i="22"/>
  <c r="D62" i="22"/>
  <c r="D61" i="22"/>
  <c r="D52" i="22"/>
  <c r="D51" i="22"/>
  <c r="D50" i="22"/>
  <c r="D49" i="22"/>
  <c r="D44" i="22"/>
  <c r="D34" i="22"/>
  <c r="D33" i="22"/>
  <c r="D29" i="22"/>
  <c r="D28" i="22"/>
  <c r="D27" i="22"/>
  <c r="D26" i="22"/>
  <c r="D22" i="22"/>
  <c r="D21" i="22"/>
  <c r="D20" i="22"/>
  <c r="D19" i="22"/>
  <c r="D18" i="22"/>
  <c r="D17" i="22"/>
  <c r="D16" i="22"/>
  <c r="D15" i="22"/>
  <c r="D10" i="22"/>
  <c r="D9" i="22"/>
  <c r="D54" i="20"/>
  <c r="D55" i="20"/>
  <c r="D53" i="20"/>
  <c r="D47" i="20"/>
  <c r="D28" i="20"/>
  <c r="H43" i="20"/>
  <c r="G43" i="20"/>
  <c r="E43" i="20"/>
  <c r="D43" i="20"/>
  <c r="H34" i="20"/>
  <c r="H33" i="20"/>
  <c r="H32" i="20"/>
  <c r="H31" i="20"/>
  <c r="H35" i="20"/>
  <c r="G34" i="20"/>
  <c r="G33" i="20"/>
  <c r="G32" i="20"/>
  <c r="G31" i="20"/>
  <c r="E34" i="20"/>
  <c r="E33" i="20"/>
  <c r="E32" i="20"/>
  <c r="E31" i="20"/>
  <c r="E35" i="20"/>
  <c r="D34" i="20"/>
  <c r="D33" i="20"/>
  <c r="D32" i="20"/>
  <c r="D31" i="20"/>
  <c r="D35" i="20"/>
  <c r="H39" i="20"/>
  <c r="H38" i="20"/>
  <c r="G39" i="20"/>
  <c r="G38" i="20"/>
  <c r="G40" i="20"/>
  <c r="E39" i="20"/>
  <c r="E38" i="20"/>
  <c r="E40" i="20"/>
  <c r="D39" i="20"/>
  <c r="D38" i="20"/>
  <c r="D40" i="20"/>
  <c r="G27" i="20"/>
  <c r="H27" i="20" s="1"/>
  <c r="D66" i="21"/>
  <c r="E66" i="21"/>
  <c r="H58" i="21"/>
  <c r="I58" i="21"/>
  <c r="F58" i="21"/>
  <c r="G58" i="21"/>
  <c r="D58" i="21"/>
  <c r="E58" i="21"/>
  <c r="I57" i="21"/>
  <c r="G57" i="21"/>
  <c r="E57" i="21"/>
  <c r="I56" i="21"/>
  <c r="H53" i="21"/>
  <c r="I53" i="21"/>
  <c r="F53" i="21"/>
  <c r="G53" i="21"/>
  <c r="D53" i="21"/>
  <c r="E53" i="21"/>
  <c r="I52" i="21"/>
  <c r="I51" i="21"/>
  <c r="I50" i="21"/>
  <c r="G50" i="21"/>
  <c r="E50" i="21"/>
  <c r="H49" i="21"/>
  <c r="I49" i="21"/>
  <c r="G49" i="21"/>
  <c r="E49" i="21"/>
  <c r="H46" i="21"/>
  <c r="I46" i="21"/>
  <c r="F46" i="21"/>
  <c r="G46" i="21"/>
  <c r="D46" i="21"/>
  <c r="E46" i="21"/>
  <c r="I45" i="21"/>
  <c r="G45" i="21"/>
  <c r="E45" i="21"/>
  <c r="I42" i="21"/>
  <c r="H42" i="21"/>
  <c r="F42" i="21"/>
  <c r="G42" i="21"/>
  <c r="D42" i="21"/>
  <c r="E42" i="21"/>
  <c r="I41" i="21"/>
  <c r="E41" i="21"/>
  <c r="H38" i="21"/>
  <c r="I38" i="21"/>
  <c r="F38" i="21"/>
  <c r="G38" i="21"/>
  <c r="D38" i="21"/>
  <c r="E38" i="21"/>
  <c r="I37" i="21"/>
  <c r="G37" i="21"/>
  <c r="E37" i="21"/>
  <c r="I36" i="21"/>
  <c r="I35" i="21"/>
  <c r="G35" i="21"/>
  <c r="E35" i="21"/>
  <c r="I34" i="21"/>
  <c r="G34" i="21"/>
  <c r="E34" i="21"/>
  <c r="I33" i="21"/>
  <c r="F30" i="21"/>
  <c r="G30" i="21"/>
  <c r="D30" i="21"/>
  <c r="E30" i="21"/>
  <c r="I29" i="21"/>
  <c r="I28" i="21"/>
  <c r="I27" i="21"/>
  <c r="I26" i="21"/>
  <c r="G26" i="21"/>
  <c r="E26" i="21"/>
  <c r="I25" i="21"/>
  <c r="I24" i="21"/>
  <c r="I23" i="21"/>
  <c r="G23" i="21"/>
  <c r="E23" i="21"/>
  <c r="I22" i="21"/>
  <c r="G22" i="21"/>
  <c r="E22" i="21"/>
  <c r="I21" i="21"/>
  <c r="G21" i="21"/>
  <c r="E21" i="21"/>
  <c r="I20" i="21"/>
  <c r="I19" i="21"/>
  <c r="G19" i="21"/>
  <c r="E19" i="21"/>
  <c r="H18" i="21"/>
  <c r="I18" i="21"/>
  <c r="H17" i="21"/>
  <c r="I17" i="21"/>
  <c r="G17" i="21"/>
  <c r="E17" i="21"/>
  <c r="H16" i="21"/>
  <c r="H30" i="21"/>
  <c r="G16" i="21"/>
  <c r="E16" i="21"/>
  <c r="H13" i="21"/>
  <c r="I13" i="21"/>
  <c r="D13" i="21"/>
  <c r="E13" i="21"/>
  <c r="I12" i="21"/>
  <c r="I11" i="21"/>
  <c r="F11" i="21"/>
  <c r="G11" i="21"/>
  <c r="E11" i="21"/>
  <c r="I10" i="21"/>
  <c r="F10" i="21"/>
  <c r="G10" i="21"/>
  <c r="E10" i="21"/>
  <c r="D130" i="22"/>
  <c r="D121" i="22"/>
  <c r="D114" i="22"/>
  <c r="D79" i="22"/>
  <c r="D97" i="22"/>
  <c r="D87" i="22"/>
  <c r="D35" i="22"/>
  <c r="D11" i="22"/>
  <c r="D23" i="22"/>
  <c r="D30" i="22"/>
  <c r="H40" i="20"/>
  <c r="G35" i="20"/>
  <c r="H66" i="21"/>
  <c r="I66" i="21"/>
  <c r="I30" i="21"/>
  <c r="D68" i="21"/>
  <c r="E68" i="21"/>
  <c r="I16" i="21"/>
  <c r="F13" i="21"/>
  <c r="H68" i="21"/>
  <c r="I68" i="21"/>
  <c r="D136" i="22"/>
  <c r="D37" i="22"/>
  <c r="G13" i="21"/>
  <c r="F66" i="21"/>
  <c r="G66" i="21"/>
  <c r="F68" i="21"/>
  <c r="G68" i="21"/>
  <c r="G8" i="7"/>
  <c r="D45" i="22" s="1"/>
  <c r="G6" i="7"/>
  <c r="D43" i="22" s="1"/>
  <c r="D81" i="4"/>
  <c r="D80" i="4"/>
  <c r="D79" i="4"/>
  <c r="D78" i="4"/>
  <c r="C81" i="4"/>
  <c r="C79" i="4"/>
  <c r="C80" i="4"/>
  <c r="G6" i="20"/>
  <c r="H6" i="20" s="1"/>
  <c r="G7" i="20"/>
  <c r="G12" i="20"/>
  <c r="G13" i="20"/>
  <c r="G14" i="20"/>
  <c r="H14" i="20"/>
  <c r="G15" i="20"/>
  <c r="H15" i="20"/>
  <c r="K15" i="20" s="1"/>
  <c r="G16" i="20"/>
  <c r="H16" i="20"/>
  <c r="G17" i="20"/>
  <c r="H17" i="20"/>
  <c r="G18" i="20"/>
  <c r="H18" i="20"/>
  <c r="G26" i="20"/>
  <c r="G19" i="20"/>
  <c r="H19" i="20"/>
  <c r="G20" i="20"/>
  <c r="H20" i="20"/>
  <c r="G21" i="20"/>
  <c r="H21" i="20"/>
  <c r="G22" i="20"/>
  <c r="G44" i="20"/>
  <c r="G38" i="4"/>
  <c r="G67" i="4"/>
  <c r="G54" i="4"/>
  <c r="G42" i="4"/>
  <c r="G34" i="4"/>
  <c r="G6" i="4"/>
  <c r="H6" i="4" s="1"/>
  <c r="H22" i="20"/>
  <c r="J22" i="20" s="1"/>
  <c r="E22" i="20"/>
  <c r="E21" i="20"/>
  <c r="E20" i="20"/>
  <c r="D19" i="20"/>
  <c r="E19" i="20"/>
  <c r="D26" i="20"/>
  <c r="E26" i="20"/>
  <c r="D18" i="20"/>
  <c r="E18" i="20"/>
  <c r="D17" i="20"/>
  <c r="E17" i="20"/>
  <c r="K17" i="20" s="1"/>
  <c r="D16" i="20"/>
  <c r="E16" i="20"/>
  <c r="D15" i="20"/>
  <c r="E15" i="20"/>
  <c r="D14" i="20"/>
  <c r="E14" i="20"/>
  <c r="D13" i="20"/>
  <c r="E13" i="20"/>
  <c r="D12" i="20"/>
  <c r="H7" i="20"/>
  <c r="D6" i="20"/>
  <c r="E6" i="20"/>
  <c r="D44" i="20"/>
  <c r="H44" i="20"/>
  <c r="E44" i="20"/>
  <c r="E27" i="20"/>
  <c r="E7" i="20"/>
  <c r="K7" i="20"/>
  <c r="E9" i="2"/>
  <c r="D15" i="7"/>
  <c r="D9" i="7"/>
  <c r="D18" i="7"/>
  <c r="G15" i="7"/>
  <c r="H14" i="7"/>
  <c r="H15" i="7" s="1"/>
  <c r="E14" i="7"/>
  <c r="H13" i="7"/>
  <c r="E13" i="7"/>
  <c r="K13" i="7" s="1"/>
  <c r="H12" i="7"/>
  <c r="E12" i="7"/>
  <c r="H8" i="7"/>
  <c r="J8" i="7" s="1"/>
  <c r="E8" i="7"/>
  <c r="H7" i="7"/>
  <c r="J7" i="7" s="1"/>
  <c r="E7" i="7"/>
  <c r="E6" i="7"/>
  <c r="E9" i="19"/>
  <c r="E16" i="19"/>
  <c r="E25" i="19"/>
  <c r="E29" i="19"/>
  <c r="E32" i="19"/>
  <c r="E33" i="19"/>
  <c r="E35" i="19"/>
  <c r="H29" i="19"/>
  <c r="H25" i="19"/>
  <c r="H16" i="19"/>
  <c r="H9" i="19"/>
  <c r="H32" i="19"/>
  <c r="H33" i="19" s="1"/>
  <c r="H35" i="19" s="1"/>
  <c r="I23" i="19"/>
  <c r="F23" i="19"/>
  <c r="H13" i="20"/>
  <c r="E18" i="7"/>
  <c r="E19" i="7"/>
  <c r="J7" i="20"/>
  <c r="I9" i="2"/>
  <c r="G9" i="2"/>
  <c r="K9" i="2"/>
  <c r="D19" i="7"/>
  <c r="D21" i="7"/>
  <c r="T9" i="2"/>
  <c r="U9" i="2"/>
  <c r="I28" i="19"/>
  <c r="I29" i="19" s="1"/>
  <c r="F28" i="19"/>
  <c r="F29" i="19"/>
  <c r="I24" i="19"/>
  <c r="F24" i="19"/>
  <c r="I22" i="19"/>
  <c r="F22" i="19"/>
  <c r="I21" i="19"/>
  <c r="F21" i="19"/>
  <c r="I20" i="19"/>
  <c r="F20" i="19"/>
  <c r="I19" i="19"/>
  <c r="F19" i="19"/>
  <c r="I15" i="19"/>
  <c r="F15" i="19"/>
  <c r="I14" i="19"/>
  <c r="F14" i="19"/>
  <c r="I13" i="19"/>
  <c r="L13" i="19" s="1"/>
  <c r="F13" i="19"/>
  <c r="I12" i="19"/>
  <c r="F12" i="19"/>
  <c r="K12" i="19" s="1"/>
  <c r="I8" i="19"/>
  <c r="F8" i="19"/>
  <c r="I7" i="19"/>
  <c r="F7" i="19"/>
  <c r="F6" i="19"/>
  <c r="I6" i="19"/>
  <c r="K6" i="19" s="1"/>
  <c r="L6" i="19"/>
  <c r="F32" i="19"/>
  <c r="F33" i="19" s="1"/>
  <c r="I32" i="19"/>
  <c r="I33" i="19" s="1"/>
  <c r="I36" i="18"/>
  <c r="G36" i="18"/>
  <c r="E36" i="18"/>
  <c r="H33" i="18"/>
  <c r="D33" i="18"/>
  <c r="I32" i="18"/>
  <c r="I33" i="18"/>
  <c r="F32" i="18"/>
  <c r="F33" i="18"/>
  <c r="E32" i="18"/>
  <c r="E33" i="18"/>
  <c r="H29" i="18"/>
  <c r="D29" i="18"/>
  <c r="I28" i="18"/>
  <c r="F28" i="18"/>
  <c r="G28" i="18"/>
  <c r="E28" i="18"/>
  <c r="I27" i="18"/>
  <c r="F27" i="18"/>
  <c r="G27" i="18"/>
  <c r="E27" i="18"/>
  <c r="I26" i="18"/>
  <c r="G26" i="18"/>
  <c r="I25" i="18"/>
  <c r="F25" i="18"/>
  <c r="G25" i="18"/>
  <c r="E25" i="18"/>
  <c r="E29" i="18"/>
  <c r="I24" i="18"/>
  <c r="F24" i="18"/>
  <c r="F29" i="18"/>
  <c r="E24" i="18"/>
  <c r="I23" i="18"/>
  <c r="F23" i="18"/>
  <c r="G23" i="18"/>
  <c r="E23" i="18"/>
  <c r="H20" i="18"/>
  <c r="D20" i="18"/>
  <c r="I19" i="18"/>
  <c r="F19" i="18"/>
  <c r="G19" i="18"/>
  <c r="E19" i="18"/>
  <c r="I18" i="18"/>
  <c r="F18" i="18"/>
  <c r="G18" i="18"/>
  <c r="E18" i="18"/>
  <c r="I17" i="18"/>
  <c r="F17" i="18"/>
  <c r="E17" i="18"/>
  <c r="I16" i="18"/>
  <c r="F16" i="18"/>
  <c r="G16" i="18"/>
  <c r="E16" i="18"/>
  <c r="H13" i="18"/>
  <c r="D13" i="18"/>
  <c r="I12" i="18"/>
  <c r="I11" i="18"/>
  <c r="F11" i="18"/>
  <c r="G11" i="18"/>
  <c r="E11" i="18"/>
  <c r="E13" i="18"/>
  <c r="I10" i="18"/>
  <c r="F10" i="18"/>
  <c r="G10" i="18"/>
  <c r="E10" i="18"/>
  <c r="O27" i="17"/>
  <c r="P27" i="17"/>
  <c r="J26" i="17"/>
  <c r="K26" i="17"/>
  <c r="O25" i="17"/>
  <c r="J25" i="17"/>
  <c r="J28" i="17"/>
  <c r="N22" i="17"/>
  <c r="M22" i="17"/>
  <c r="L22" i="17"/>
  <c r="I22" i="17"/>
  <c r="H22" i="17"/>
  <c r="G22" i="17"/>
  <c r="J21" i="17"/>
  <c r="K21" i="17"/>
  <c r="O20" i="17"/>
  <c r="P20" i="17"/>
  <c r="J20" i="17"/>
  <c r="K20" i="17"/>
  <c r="O19" i="17"/>
  <c r="P19" i="17"/>
  <c r="J19" i="17"/>
  <c r="K19" i="17"/>
  <c r="O18" i="17"/>
  <c r="P18" i="17"/>
  <c r="O17" i="17"/>
  <c r="P17" i="17"/>
  <c r="O16" i="17"/>
  <c r="P16" i="17"/>
  <c r="O15" i="17"/>
  <c r="P15" i="17"/>
  <c r="O14" i="17"/>
  <c r="P14" i="17"/>
  <c r="O13" i="17"/>
  <c r="P13" i="17"/>
  <c r="J13" i="17"/>
  <c r="K13" i="17"/>
  <c r="O12" i="17"/>
  <c r="P12" i="17"/>
  <c r="J12" i="17"/>
  <c r="K12" i="17"/>
  <c r="O11" i="17"/>
  <c r="P11" i="17"/>
  <c r="K11" i="17"/>
  <c r="J11" i="17"/>
  <c r="O10" i="17"/>
  <c r="J10" i="17"/>
  <c r="K10" i="17"/>
  <c r="G58" i="4"/>
  <c r="D58" i="4"/>
  <c r="H57" i="4"/>
  <c r="H58" i="4"/>
  <c r="E57" i="4"/>
  <c r="E58" i="4" s="1"/>
  <c r="D54" i="4"/>
  <c r="H53" i="4"/>
  <c r="H52" i="4"/>
  <c r="H54" i="4"/>
  <c r="E53" i="4"/>
  <c r="E52" i="4"/>
  <c r="G49" i="4"/>
  <c r="D49" i="4"/>
  <c r="E48" i="4"/>
  <c r="E47" i="4"/>
  <c r="E46" i="4"/>
  <c r="E45" i="4"/>
  <c r="H48" i="4"/>
  <c r="H47" i="4"/>
  <c r="H46" i="4"/>
  <c r="H45" i="4"/>
  <c r="H49" i="4" s="1"/>
  <c r="D42" i="4"/>
  <c r="H41" i="4"/>
  <c r="H42" i="4" s="1"/>
  <c r="E41" i="4"/>
  <c r="E42" i="4" s="1"/>
  <c r="D38" i="4"/>
  <c r="H37" i="4"/>
  <c r="H38" i="4" s="1"/>
  <c r="E37" i="4"/>
  <c r="E38" i="4"/>
  <c r="H33" i="4"/>
  <c r="H32" i="4"/>
  <c r="H31" i="4"/>
  <c r="H30" i="4"/>
  <c r="H29" i="4"/>
  <c r="D34" i="4"/>
  <c r="E33" i="4"/>
  <c r="E34" i="4" s="1"/>
  <c r="E32" i="4"/>
  <c r="E31" i="4"/>
  <c r="E30" i="4"/>
  <c r="E29" i="4"/>
  <c r="F13" i="18"/>
  <c r="H39" i="18"/>
  <c r="I39" i="18"/>
  <c r="I20" i="18"/>
  <c r="E20" i="18"/>
  <c r="G13" i="18"/>
  <c r="O22" i="17"/>
  <c r="F20" i="18"/>
  <c r="I29" i="18"/>
  <c r="O28" i="17"/>
  <c r="O35" i="17"/>
  <c r="I13" i="18"/>
  <c r="D37" i="18"/>
  <c r="E37" i="18"/>
  <c r="H37" i="18"/>
  <c r="I37" i="18"/>
  <c r="F37" i="18"/>
  <c r="G37" i="18"/>
  <c r="G17" i="18"/>
  <c r="G20" i="18"/>
  <c r="G24" i="18"/>
  <c r="G29" i="18"/>
  <c r="G32" i="18"/>
  <c r="G33" i="18"/>
  <c r="K22" i="17"/>
  <c r="K25" i="17"/>
  <c r="K28" i="17"/>
  <c r="P10" i="17"/>
  <c r="P22" i="17"/>
  <c r="J22" i="17"/>
  <c r="P25" i="17"/>
  <c r="P28" i="17"/>
  <c r="D39" i="18"/>
  <c r="E39" i="18"/>
  <c r="F39" i="18"/>
  <c r="G39" i="18"/>
  <c r="J35" i="17"/>
  <c r="O36" i="17"/>
  <c r="O38" i="17"/>
  <c r="P38" i="17"/>
  <c r="G6" i="1"/>
  <c r="P35" i="17"/>
  <c r="P36" i="17"/>
  <c r="J36" i="17"/>
  <c r="J38" i="17"/>
  <c r="K38" i="17"/>
  <c r="K35" i="17"/>
  <c r="K36" i="17"/>
  <c r="I20" i="16"/>
  <c r="H20" i="16"/>
  <c r="J19" i="16"/>
  <c r="J16" i="16"/>
  <c r="J14" i="16"/>
  <c r="J13" i="16"/>
  <c r="J12" i="16"/>
  <c r="J11" i="16"/>
  <c r="J9" i="16"/>
  <c r="J7" i="16"/>
  <c r="I23" i="15"/>
  <c r="H23" i="15"/>
  <c r="J22" i="15"/>
  <c r="J21" i="15"/>
  <c r="J20" i="15"/>
  <c r="J19" i="15"/>
  <c r="J18" i="15"/>
  <c r="J16" i="15"/>
  <c r="J14" i="15"/>
  <c r="J13" i="15"/>
  <c r="J12" i="15"/>
  <c r="J10" i="15"/>
  <c r="J6" i="15"/>
  <c r="J5" i="15"/>
  <c r="G25" i="1"/>
  <c r="G21" i="1"/>
  <c r="C12" i="3"/>
  <c r="G27" i="1"/>
  <c r="G26" i="1"/>
  <c r="G24" i="1"/>
  <c r="G23" i="1"/>
  <c r="G22" i="1"/>
  <c r="Q38" i="13"/>
  <c r="Q37" i="13"/>
  <c r="Q36" i="13"/>
  <c r="Q30" i="13"/>
  <c r="Q31" i="13"/>
  <c r="G16" i="1"/>
  <c r="Q29" i="13"/>
  <c r="Q28" i="13"/>
  <c r="Q24" i="13"/>
  <c r="Q23" i="13"/>
  <c r="Q22" i="13"/>
  <c r="Q21" i="13"/>
  <c r="Q20" i="13"/>
  <c r="Q19" i="13"/>
  <c r="Q18" i="13"/>
  <c r="Q17" i="13"/>
  <c r="Q16" i="13"/>
  <c r="Q25" i="13"/>
  <c r="G15" i="1"/>
  <c r="Q12" i="13"/>
  <c r="Q11" i="13"/>
  <c r="Q10" i="13"/>
  <c r="Q9" i="13"/>
  <c r="Q8" i="13"/>
  <c r="Q7" i="13"/>
  <c r="Q6" i="13"/>
  <c r="Q5" i="13"/>
  <c r="Q13" i="13"/>
  <c r="G14" i="1"/>
  <c r="C39" i="12"/>
  <c r="C25" i="12"/>
  <c r="C15" i="12"/>
  <c r="J20" i="16"/>
  <c r="Q39" i="13"/>
  <c r="G9" i="1"/>
  <c r="J23" i="15"/>
  <c r="O20" i="15"/>
  <c r="C41" i="12"/>
  <c r="C43" i="12"/>
  <c r="C45" i="12"/>
  <c r="H25" i="4"/>
  <c r="H24" i="4"/>
  <c r="J24" i="4" s="1"/>
  <c r="H23" i="4"/>
  <c r="H22" i="4"/>
  <c r="K22" i="4" s="1"/>
  <c r="H21" i="4"/>
  <c r="H20" i="4"/>
  <c r="J20" i="4" s="1"/>
  <c r="H19" i="4"/>
  <c r="K19" i="4" s="1"/>
  <c r="H18" i="4"/>
  <c r="H17" i="4"/>
  <c r="E17" i="4"/>
  <c r="H16" i="4"/>
  <c r="E16" i="4"/>
  <c r="H15" i="4"/>
  <c r="E15" i="4"/>
  <c r="K15" i="4" s="1"/>
  <c r="H14" i="4"/>
  <c r="H13" i="4"/>
  <c r="H12" i="4"/>
  <c r="G26" i="4"/>
  <c r="D26" i="4"/>
  <c r="E25" i="4"/>
  <c r="E24" i="4"/>
  <c r="E23" i="4"/>
  <c r="E22" i="4"/>
  <c r="E21" i="4"/>
  <c r="E20" i="4"/>
  <c r="E19" i="4"/>
  <c r="E18" i="4"/>
  <c r="K18" i="4"/>
  <c r="E14" i="4"/>
  <c r="E13" i="4"/>
  <c r="E12" i="4"/>
  <c r="D9" i="4"/>
  <c r="E8" i="4"/>
  <c r="E7" i="4"/>
  <c r="E6" i="4"/>
  <c r="E9" i="4"/>
  <c r="H8" i="4"/>
  <c r="H7" i="4"/>
  <c r="D61" i="4"/>
  <c r="E61" i="4"/>
  <c r="E62" i="4"/>
  <c r="D62" i="4"/>
  <c r="D64" i="4"/>
  <c r="D10" i="2"/>
  <c r="E10" i="2"/>
  <c r="T5" i="2"/>
  <c r="U5" i="2"/>
  <c r="E8" i="2"/>
  <c r="I8" i="2"/>
  <c r="D7" i="2"/>
  <c r="D6" i="2"/>
  <c r="G10" i="2"/>
  <c r="I10" i="2"/>
  <c r="G8" i="2"/>
  <c r="K8" i="2"/>
  <c r="E6" i="2"/>
  <c r="E7" i="2"/>
  <c r="K10" i="2"/>
  <c r="S10" i="2"/>
  <c r="R10" i="2"/>
  <c r="Q10" i="2"/>
  <c r="T10" i="2"/>
  <c r="U10" i="2"/>
  <c r="I7" i="2"/>
  <c r="G7" i="2"/>
  <c r="K7" i="2"/>
  <c r="I6" i="2"/>
  <c r="G6" i="2"/>
  <c r="R8" i="2"/>
  <c r="S8" i="2"/>
  <c r="Q8" i="2"/>
  <c r="T8" i="2"/>
  <c r="U8" i="2"/>
  <c r="G49" i="11"/>
  <c r="E49" i="11"/>
  <c r="G48" i="11"/>
  <c r="E48" i="11"/>
  <c r="F45" i="11"/>
  <c r="G45" i="11"/>
  <c r="D45" i="11"/>
  <c r="E45" i="11"/>
  <c r="J44" i="11"/>
  <c r="K44" i="11"/>
  <c r="G44" i="11"/>
  <c r="E44" i="11"/>
  <c r="G43" i="11"/>
  <c r="E43" i="11"/>
  <c r="J42" i="11"/>
  <c r="K42" i="11"/>
  <c r="G42" i="11"/>
  <c r="E42" i="11"/>
  <c r="J41" i="11"/>
  <c r="K41" i="11"/>
  <c r="G41" i="11"/>
  <c r="E41" i="11"/>
  <c r="J39" i="11"/>
  <c r="K39" i="11"/>
  <c r="J38" i="11"/>
  <c r="K38" i="11"/>
  <c r="G38" i="11"/>
  <c r="E38" i="11"/>
  <c r="J37" i="11"/>
  <c r="G37" i="11"/>
  <c r="E37" i="11"/>
  <c r="J33" i="11"/>
  <c r="J34" i="11"/>
  <c r="K34" i="11"/>
  <c r="J32" i="11"/>
  <c r="K32" i="11"/>
  <c r="J31" i="11"/>
  <c r="K31" i="11"/>
  <c r="J30" i="11"/>
  <c r="K30" i="11"/>
  <c r="F27" i="11"/>
  <c r="G27" i="11"/>
  <c r="D27" i="11"/>
  <c r="E27" i="11"/>
  <c r="J26" i="11"/>
  <c r="K26" i="11"/>
  <c r="G26" i="11"/>
  <c r="E26" i="11"/>
  <c r="J25" i="11"/>
  <c r="K25" i="11"/>
  <c r="J24" i="11"/>
  <c r="K24" i="11"/>
  <c r="G24" i="11"/>
  <c r="E24" i="11"/>
  <c r="J23" i="11"/>
  <c r="K23" i="11"/>
  <c r="G23" i="11"/>
  <c r="E23" i="11"/>
  <c r="J22" i="11"/>
  <c r="K22" i="11"/>
  <c r="G22" i="11"/>
  <c r="E22" i="11"/>
  <c r="J21" i="11"/>
  <c r="K21" i="11"/>
  <c r="G21" i="11"/>
  <c r="E21" i="11"/>
  <c r="J20" i="11"/>
  <c r="K20" i="11"/>
  <c r="G20" i="11"/>
  <c r="E20" i="11"/>
  <c r="F17" i="11"/>
  <c r="G17" i="11"/>
  <c r="D17" i="11"/>
  <c r="J16" i="11"/>
  <c r="K16" i="11"/>
  <c r="J15" i="11"/>
  <c r="K15" i="11"/>
  <c r="J14" i="11"/>
  <c r="K14" i="11"/>
  <c r="J13" i="11"/>
  <c r="K13" i="11"/>
  <c r="G13" i="11"/>
  <c r="E13" i="11"/>
  <c r="K12" i="11"/>
  <c r="G12" i="11"/>
  <c r="E12" i="11"/>
  <c r="J11" i="11"/>
  <c r="J17" i="11"/>
  <c r="G11" i="11"/>
  <c r="E11" i="11"/>
  <c r="J10" i="11"/>
  <c r="K10" i="11"/>
  <c r="G10" i="11"/>
  <c r="E10" i="11"/>
  <c r="I17" i="1"/>
  <c r="H17" i="1"/>
  <c r="F17" i="1"/>
  <c r="E17" i="1"/>
  <c r="D17" i="1"/>
  <c r="I28" i="1"/>
  <c r="H28" i="1"/>
  <c r="F28" i="1"/>
  <c r="E28" i="1"/>
  <c r="D28" i="1"/>
  <c r="I10" i="1"/>
  <c r="H10" i="1"/>
  <c r="F10" i="1"/>
  <c r="E10" i="1"/>
  <c r="D10" i="1"/>
  <c r="J45" i="11"/>
  <c r="K45" i="11"/>
  <c r="D30" i="1"/>
  <c r="D52" i="11"/>
  <c r="E30" i="1"/>
  <c r="E32" i="1"/>
  <c r="E34" i="1"/>
  <c r="F30" i="1"/>
  <c r="R7" i="2"/>
  <c r="S7" i="2"/>
  <c r="Q7" i="2"/>
  <c r="K6" i="2"/>
  <c r="D32" i="1"/>
  <c r="D34" i="1"/>
  <c r="H30" i="1"/>
  <c r="I30" i="1"/>
  <c r="E52" i="11"/>
  <c r="D53" i="11"/>
  <c r="E53" i="11"/>
  <c r="K17" i="11"/>
  <c r="J48" i="11"/>
  <c r="K33" i="11"/>
  <c r="K11" i="11"/>
  <c r="D55" i="11"/>
  <c r="E55" i="11"/>
  <c r="J27" i="11"/>
  <c r="K27" i="11"/>
  <c r="F52" i="11"/>
  <c r="E17" i="11"/>
  <c r="K37" i="11"/>
  <c r="F32" i="1"/>
  <c r="F34" i="1"/>
  <c r="K11" i="2"/>
  <c r="S6" i="2"/>
  <c r="S11" i="2"/>
  <c r="Q6" i="2"/>
  <c r="R6" i="2"/>
  <c r="R11" i="2"/>
  <c r="T7" i="2"/>
  <c r="U7" i="2"/>
  <c r="H32" i="1"/>
  <c r="H34" i="1"/>
  <c r="I32" i="1"/>
  <c r="I34" i="1"/>
  <c r="G52" i="11"/>
  <c r="F53" i="11"/>
  <c r="J49" i="11"/>
  <c r="K49" i="11"/>
  <c r="K48" i="11"/>
  <c r="J52" i="11"/>
  <c r="S12" i="2"/>
  <c r="G20" i="1"/>
  <c r="G28" i="1"/>
  <c r="R12" i="2"/>
  <c r="G13" i="1"/>
  <c r="G17" i="1"/>
  <c r="Q11" i="2"/>
  <c r="T6" i="2"/>
  <c r="U6" i="2"/>
  <c r="K52" i="11"/>
  <c r="J53" i="11"/>
  <c r="G53" i="11"/>
  <c r="F55" i="11"/>
  <c r="G55" i="11"/>
  <c r="Q12" i="2"/>
  <c r="T12" i="2"/>
  <c r="U12" i="2"/>
  <c r="G8" i="1"/>
  <c r="K53" i="11"/>
  <c r="J55" i="11"/>
  <c r="K55" i="11"/>
  <c r="G4" i="1"/>
  <c r="J20" i="20"/>
  <c r="J17" i="20"/>
  <c r="D23" i="20"/>
  <c r="J16" i="20"/>
  <c r="G23" i="20"/>
  <c r="E12" i="20"/>
  <c r="D8" i="20"/>
  <c r="H12" i="20"/>
  <c r="K13" i="19"/>
  <c r="D48" i="20"/>
  <c r="D50" i="20"/>
  <c r="E24" i="25" l="1"/>
  <c r="F4" i="25"/>
  <c r="F6" i="25" s="1"/>
  <c r="E35" i="25"/>
  <c r="I25" i="19"/>
  <c r="L12" i="19"/>
  <c r="J14" i="7"/>
  <c r="J18" i="4"/>
  <c r="K15" i="19"/>
  <c r="J12" i="7"/>
  <c r="K21" i="20"/>
  <c r="J13" i="4"/>
  <c r="E54" i="4"/>
  <c r="L7" i="19"/>
  <c r="H34" i="4"/>
  <c r="J14" i="4"/>
  <c r="E9" i="7"/>
  <c r="J8" i="20"/>
  <c r="G28" i="20"/>
  <c r="J15" i="20"/>
  <c r="G8" i="20"/>
  <c r="G53" i="20" s="1"/>
  <c r="G47" i="20" s="1"/>
  <c r="G48" i="20" s="1"/>
  <c r="J13" i="7"/>
  <c r="J16" i="4"/>
  <c r="J17" i="4"/>
  <c r="E28" i="20"/>
  <c r="F16" i="19"/>
  <c r="K13" i="4"/>
  <c r="J21" i="20"/>
  <c r="J7" i="4"/>
  <c r="J19" i="4"/>
  <c r="K12" i="20"/>
  <c r="J8" i="4"/>
  <c r="J15" i="4"/>
  <c r="J21" i="4"/>
  <c r="F25" i="19"/>
  <c r="F35" i="19" s="1"/>
  <c r="E15" i="7"/>
  <c r="J15" i="7" s="1"/>
  <c r="E8" i="20"/>
  <c r="E53" i="20" s="1"/>
  <c r="E47" i="20" s="1"/>
  <c r="E48" i="20" s="1"/>
  <c r="E26" i="4"/>
  <c r="J22" i="4"/>
  <c r="F9" i="19"/>
  <c r="J23" i="4"/>
  <c r="E49" i="4"/>
  <c r="J12" i="4"/>
  <c r="K17" i="4"/>
  <c r="K14" i="19"/>
  <c r="E64" i="4"/>
  <c r="K7" i="7"/>
  <c r="J25" i="4"/>
  <c r="K13" i="20"/>
  <c r="J14" i="20"/>
  <c r="E23" i="20"/>
  <c r="K18" i="20"/>
  <c r="G5" i="24"/>
  <c r="G7" i="24" s="1"/>
  <c r="F15" i="24"/>
  <c r="G15" i="24" s="1"/>
  <c r="E5" i="24"/>
  <c r="E7" i="24"/>
  <c r="E13" i="23"/>
  <c r="E31" i="23"/>
  <c r="E42" i="23"/>
  <c r="K6" i="4"/>
  <c r="J6" i="4"/>
  <c r="H9" i="4"/>
  <c r="K15" i="7"/>
  <c r="K6" i="20"/>
  <c r="H8" i="20"/>
  <c r="J6" i="20"/>
  <c r="K7" i="4"/>
  <c r="G9" i="4"/>
  <c r="L15" i="19"/>
  <c r="K12" i="7"/>
  <c r="H26" i="20"/>
  <c r="I9" i="19"/>
  <c r="K8" i="19"/>
  <c r="K7" i="19"/>
  <c r="J12" i="20"/>
  <c r="J13" i="20"/>
  <c r="D60" i="22"/>
  <c r="D63" i="22" s="1"/>
  <c r="D104" i="22" s="1"/>
  <c r="I16" i="19"/>
  <c r="H26" i="4"/>
  <c r="G9" i="7"/>
  <c r="K12" i="4"/>
  <c r="H23" i="20"/>
  <c r="J18" i="20"/>
  <c r="H6" i="7"/>
  <c r="E21" i="7" l="1"/>
  <c r="F11" i="23"/>
  <c r="F8" i="23"/>
  <c r="F7" i="23"/>
  <c r="F6" i="23"/>
  <c r="F9" i="23"/>
  <c r="K9" i="4"/>
  <c r="J9" i="4"/>
  <c r="E50" i="20"/>
  <c r="E54" i="20"/>
  <c r="E55" i="20" s="1"/>
  <c r="H9" i="7"/>
  <c r="K6" i="7"/>
  <c r="J6" i="7"/>
  <c r="I35" i="19"/>
  <c r="E13" i="25" s="1"/>
  <c r="K9" i="19"/>
  <c r="L9" i="19"/>
  <c r="J23" i="20"/>
  <c r="K23" i="20"/>
  <c r="J26" i="20"/>
  <c r="K26" i="20"/>
  <c r="H28" i="20"/>
  <c r="G50" i="20"/>
  <c r="G54" i="20"/>
  <c r="G55" i="20" s="1"/>
  <c r="K9" i="20"/>
  <c r="H53" i="20"/>
  <c r="J9" i="20"/>
  <c r="G18" i="7"/>
  <c r="D46" i="22"/>
  <c r="D54" i="22" s="1"/>
  <c r="D1" i="22" s="1"/>
  <c r="K26" i="4"/>
  <c r="J26" i="4"/>
  <c r="G72" i="4"/>
  <c r="G61" i="4"/>
  <c r="L16" i="19"/>
  <c r="K16" i="19"/>
  <c r="G16" i="24" l="1"/>
  <c r="D2" i="22"/>
  <c r="D3" i="22"/>
  <c r="G19" i="7"/>
  <c r="G21" i="7" s="1"/>
  <c r="H18" i="7"/>
  <c r="H19" i="7" s="1"/>
  <c r="H21" i="7" s="1"/>
  <c r="G7" i="1"/>
  <c r="E20" i="23"/>
  <c r="H47" i="20"/>
  <c r="H48" i="20" s="1"/>
  <c r="K9" i="7"/>
  <c r="J9" i="7"/>
  <c r="G62" i="4"/>
  <c r="G64" i="4" s="1"/>
  <c r="H61" i="4"/>
  <c r="H62" i="4" s="1"/>
  <c r="H64" i="4" s="1"/>
  <c r="E11" i="25" s="1"/>
  <c r="G71" i="4"/>
  <c r="G74" i="4"/>
  <c r="E17" i="25" l="1"/>
  <c r="H50" i="20"/>
  <c r="H54" i="20"/>
  <c r="H55" i="20" s="1"/>
  <c r="E18" i="23"/>
  <c r="G5" i="1"/>
  <c r="E37" i="25" l="1"/>
  <c r="E39" i="25" s="1"/>
  <c r="G10" i="1"/>
  <c r="E24" i="23"/>
  <c r="F37" i="25" l="1"/>
  <c r="F20" i="25"/>
  <c r="F22" i="25"/>
  <c r="F21" i="25"/>
  <c r="F16" i="25"/>
  <c r="F35" i="25"/>
  <c r="F24" i="25"/>
  <c r="F31" i="25"/>
  <c r="F23" i="25"/>
  <c r="F32" i="25"/>
  <c r="F27" i="25"/>
  <c r="F10" i="25"/>
  <c r="F33" i="25"/>
  <c r="F30" i="25"/>
  <c r="F15" i="25"/>
  <c r="F12" i="25"/>
  <c r="F28" i="25"/>
  <c r="F34" i="25"/>
  <c r="F29" i="25"/>
  <c r="F13" i="25"/>
  <c r="F11" i="25"/>
  <c r="F17" i="25"/>
  <c r="E44" i="23"/>
  <c r="E51" i="23" s="1"/>
  <c r="E16" i="24" s="1"/>
  <c r="H16" i="24" s="1"/>
  <c r="G30" i="1"/>
  <c r="J10" i="1"/>
  <c r="F21" i="23" l="1"/>
  <c r="E46" i="23"/>
  <c r="E48" i="23" s="1"/>
  <c r="J21" i="1"/>
  <c r="J28" i="1"/>
  <c r="G32" i="1"/>
  <c r="G34" i="1" s="1"/>
  <c r="J9" i="1"/>
  <c r="J24" i="1"/>
  <c r="J6" i="1"/>
  <c r="J30" i="1"/>
  <c r="J4" i="1"/>
  <c r="J14" i="1"/>
  <c r="J13" i="1"/>
  <c r="J22" i="1"/>
  <c r="J20" i="1"/>
  <c r="J23" i="1"/>
  <c r="J8" i="1"/>
  <c r="J27" i="1"/>
  <c r="J25" i="1"/>
  <c r="J15" i="1"/>
  <c r="J16" i="1"/>
  <c r="J17" i="1"/>
  <c r="J26" i="1"/>
  <c r="J7" i="1"/>
  <c r="J5" i="1"/>
  <c r="F44" i="23"/>
  <c r="F29" i="23"/>
  <c r="F27" i="23"/>
  <c r="F28" i="23"/>
  <c r="F36" i="23"/>
  <c r="F34" i="23"/>
  <c r="F17" i="23"/>
  <c r="F42" i="23"/>
  <c r="F41" i="23"/>
  <c r="F38" i="23"/>
  <c r="F37" i="23"/>
  <c r="F23" i="23"/>
  <c r="F35" i="23"/>
  <c r="F30" i="23"/>
  <c r="F39" i="23"/>
  <c r="F31" i="23"/>
  <c r="F19" i="23"/>
  <c r="F40" i="23"/>
  <c r="F22" i="23"/>
  <c r="F20" i="23"/>
  <c r="F18" i="23"/>
  <c r="F24" i="23"/>
  <c r="H19" i="23" l="1"/>
  <c r="I19" i="23" s="1"/>
  <c r="E13" i="24" s="1"/>
  <c r="D13" i="24"/>
  <c r="H13" i="24" s="1"/>
  <c r="D11" i="24"/>
  <c r="H17" i="23"/>
  <c r="I17" i="23" s="1"/>
  <c r="E11" i="24" s="1"/>
  <c r="D12" i="24" l="1"/>
  <c r="H18" i="23"/>
  <c r="I18" i="23" s="1"/>
  <c r="E12" i="24" s="1"/>
  <c r="G12" i="24" s="1"/>
  <c r="H20" i="23"/>
  <c r="I20" i="23" s="1"/>
  <c r="E14" i="24" s="1"/>
  <c r="F14" i="24" s="1"/>
  <c r="D14" i="24"/>
  <c r="D17" i="24"/>
  <c r="D19" i="24" s="1"/>
  <c r="H11" i="24"/>
  <c r="G13" i="24"/>
  <c r="H14" i="24" l="1"/>
  <c r="E17" i="24"/>
  <c r="E19" i="24" s="1"/>
  <c r="G11" i="24"/>
  <c r="F17" i="24"/>
  <c r="F19" i="24" s="1"/>
  <c r="G14" i="24"/>
  <c r="H12" i="24"/>
  <c r="H17" i="24" s="1"/>
  <c r="H19" i="24" s="1"/>
  <c r="G17" i="24" l="1"/>
  <c r="G19" i="24" s="1"/>
  <c r="G21"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tc={E84EBA03-6947-E546-9EE3-08836B2D09D1}</author>
    <author>tc={D2A4BFEA-A8D0-144C-8846-9B964F97EC96}</author>
    <author>tc={7B2A7ABE-DBA9-C04E-BAD0-9F3BD60283FB}</author>
    <author>tc={A69397CA-30E8-0148-AAB8-696911E7E40F}</author>
  </authors>
  <commentList>
    <comment ref="H10" authorId="0" shapeId="0" xr:uid="{E84EBA03-6947-E546-9EE3-08836B2D09D1}">
      <text>
        <t>[Threaded comment]
Your version of Excel allows you to read this threaded comment; however, any edits to it will get removed if the file is opened in a newer version of Excel. Learn more: https://go.microsoft.com/fwlink/?linkid=870924
Comment:
    3 jr teachers @ 20,000Rs/mo + 1 sn teacher @ 25,000/mo + Susanna @ 44,000/mo + P/T English teacher @ 15,000/mo</t>
      </text>
    </comment>
    <comment ref="H17" authorId="1" shapeId="0" xr:uid="{D2A4BFEA-A8D0-144C-8846-9B964F97EC96}">
      <text>
        <t>[Threaded comment]
Your version of Excel allows you to read this threaded comment; however, any edits to it will get removed if the file is opened in a newer version of Excel. Learn more: https://go.microsoft.com/fwlink/?linkid=870924
Comment:
    We anticipate 2 from 2023 to continue into 1st standard; add +1 new student and 3 new 2nd standard for total of 6 students w/10% increase tuition each standard</t>
      </text>
    </comment>
    <comment ref="H18" authorId="2" shapeId="0" xr:uid="{7B2A7ABE-DBA9-C04E-BAD0-9F3BD60283FB}">
      <text>
        <t>[Threaded comment]
Your version of Excel allows you to read this threaded comment; however, any edits to it will get removed if the file is opened in a newer version of Excel. Learn more: https://go.microsoft.com/fwlink/?linkid=870924
Comment:
    2024 we anticipate 3 students into local schools avg. fees 24,000Rs.</t>
      </text>
    </comment>
    <comment ref="H49" authorId="3" shapeId="0" xr:uid="{A69397CA-30E8-0148-AAB8-696911E7E40F}">
      <text>
        <t>[Threaded comment]
Your version of Excel allows you to read this threaded comment; however, any edits to it will get removed if the file is opened in a newer version of Excel. Learn more: https://go.microsoft.com/fwlink/?linkid=870924
Comment:
    Monthly 1500 Rs/child * 9 months * 74 students</t>
      </text>
    </comment>
  </commentList>
</comments>
</file>

<file path=xl/sharedStrings.xml><?xml version="1.0" encoding="utf-8"?>
<sst xmlns="http://schemas.openxmlformats.org/spreadsheetml/2006/main" count="1260" uniqueCount="639">
  <si>
    <t>Programs</t>
  </si>
  <si>
    <t>R3G2 Project</t>
  </si>
  <si>
    <t>G.R.A.C.E. Initiative</t>
  </si>
  <si>
    <t>Legacy Education</t>
  </si>
  <si>
    <t>Sahasee Embers Cultural Center</t>
  </si>
  <si>
    <t>HQ staff allocation</t>
  </si>
  <si>
    <t>Project Management</t>
  </si>
  <si>
    <t>actuals</t>
  </si>
  <si>
    <t>budget</t>
  </si>
  <si>
    <t>Total Programs</t>
  </si>
  <si>
    <t>projection</t>
  </si>
  <si>
    <t>Development</t>
  </si>
  <si>
    <t>Website &amp; Reporting</t>
  </si>
  <si>
    <t>Gala &amp; Ambassadors</t>
  </si>
  <si>
    <t>Total Development</t>
  </si>
  <si>
    <t>Administration</t>
  </si>
  <si>
    <t>Payroll Expense (Employer Tax)</t>
  </si>
  <si>
    <t>Bookkeeping &amp; Tax Return (CPA)</t>
  </si>
  <si>
    <t>Office supplies</t>
  </si>
  <si>
    <t>Insurance</t>
  </si>
  <si>
    <t>Other</t>
  </si>
  <si>
    <t>Total Administration</t>
  </si>
  <si>
    <t>INR - USD exchange rate</t>
  </si>
  <si>
    <t xml:space="preserve"> </t>
  </si>
  <si>
    <t>Total Budget (without reserve)</t>
  </si>
  <si>
    <t>Reserve (6 months)</t>
  </si>
  <si>
    <t>Total Budget (with reserve)</t>
  </si>
  <si>
    <t>R3G2 PROJECT [RESTORE RENEW REINTEGRATION FOR MULTI-GENERATIONS PROJECT]</t>
  </si>
  <si>
    <t>Vision: Survivors of human trafficking and their children realize generational freedom and flourishing. Survivors' family unit is strengthened, not destroyed, on their journey from exploitation to reintegration into the society.</t>
  </si>
  <si>
    <t>Goal: Protect the multi-generational family unit of survivors (mothers and their children) and restore, renew, and reintegrate them out of the red-light district into sustainable freedom and economic independence.</t>
  </si>
  <si>
    <t>Problem: Trafficked victims, along with their children, are trapped in inter-generational exploitation and abuse, and there is no effective program model that supports both generations for sustained exit from trafficking and strengthens the family unit.</t>
  </si>
  <si>
    <t>Client in 2024: 7 family units - 18 clients - 7 women &amp; 11 children (1) Akhlima with 3 children (2) Goltara with 2 children (3) Deepa with 3 children (4) Kiran (5) Kusum (with a minor brother) (6) Monira with 2 children (7) Anjala's client with 1 child</t>
  </si>
  <si>
    <t>EXP. CODE</t>
  </si>
  <si>
    <t>PROGRAM EXPENSE</t>
  </si>
  <si>
    <t>FISCAL SPONSOR LEDGER REFERENCE</t>
  </si>
  <si>
    <t>2023 EXPENDITURE TO DATE                               (JAN. 1 - NOV. 15)</t>
  </si>
  <si>
    <t>2023 ESTIMATED TOTAL EXPENDITURE (JAN. 1 - DEC. 31)</t>
  </si>
  <si>
    <t>2024 PROPOSED BUDGET FOR R3G2 PROJECT</t>
  </si>
  <si>
    <t>CASE MANAGEMENT (Staff)</t>
  </si>
  <si>
    <t>INR</t>
  </si>
  <si>
    <t>USD</t>
  </si>
  <si>
    <t>UNIT COST</t>
  </si>
  <si>
    <t>UNIT</t>
  </si>
  <si>
    <t>Case Manager (Sneha Joseph)</t>
  </si>
  <si>
    <t>Sneha Joseph (R3G2)</t>
  </si>
  <si>
    <t>Case Manager &amp; Outreach Partner (Aadharshila MOU)</t>
  </si>
  <si>
    <t>Anjala Grene Project Cornerstone, Karuna Morgan</t>
  </si>
  <si>
    <t>Case Manager &amp; Outreach Partner (Sahasee Embers Charitable Trust, 10% of Sahasee Embers Cultural Center budget)</t>
  </si>
  <si>
    <t>Heraz Sales Corporation Invoice 16 Plastic</t>
  </si>
  <si>
    <t>Professional Development (Heather Ferreira)</t>
  </si>
  <si>
    <t>Case Manager (need to recruit)</t>
  </si>
  <si>
    <t>Finance Director (need to recruit)</t>
  </si>
  <si>
    <t>Case Management Support (laptop, supplies)</t>
  </si>
  <si>
    <t>CASE MANAGEMENT SUBTOTAL [Direct Program Cost]</t>
  </si>
  <si>
    <t>RESTORATION (Physical Safety &amp; Health)</t>
  </si>
  <si>
    <t>Housing Rent (10,000 rupees per month)</t>
  </si>
  <si>
    <t>Karuna Morgan (Rent +Deposit for Kiran), Anjala Greene (Kiran's Rent), Deposit advance Indu (Kusum)</t>
  </si>
  <si>
    <t>Food and Basic Necessities (10,000 rupees per month)</t>
  </si>
  <si>
    <t>Kusum Expenses-Anjala Greene -Adarshila(R3G2), Ration for a Lady - Expenses Vani, Kiran cosmetices, Karuna Morgan (For Kusum and for Kiran), Deepa's Grocery (R3G2)</t>
  </si>
  <si>
    <t>Electric Bill (2,000 rupees per month)</t>
  </si>
  <si>
    <r>
      <t xml:space="preserve">Housing Support (50,000 rupees per home, furniture, kitchen, </t>
    </r>
    <r>
      <rPr>
        <sz val="11"/>
        <rFont val="Calibri (Body)"/>
      </rPr>
      <t>phone</t>
    </r>
    <r>
      <rPr>
        <sz val="11"/>
        <rFont val="Calibri"/>
        <family val="2"/>
        <scheme val="minor"/>
      </rPr>
      <t>, supplies)</t>
    </r>
  </si>
  <si>
    <t>Siver Textile, Kiran Phone -Anjala</t>
  </si>
  <si>
    <t>Medical Care (5,000 rupees per visit, 18 clients x 2 visits per year)</t>
  </si>
  <si>
    <t xml:space="preserve">Medical Expenses of Aklima </t>
  </si>
  <si>
    <t>Incidental (medical care, emergency funds)</t>
  </si>
  <si>
    <t>Trauma-Informed Counseling (ACT MOU)</t>
  </si>
  <si>
    <t>RESTORATION (Physical Safety &amp; Health) SUBTOTAL [Direct Program Cost]</t>
  </si>
  <si>
    <t>RENEWAL (Agency to Shape Future)</t>
  </si>
  <si>
    <t>Children School Fees (tuition 39,100 rupees + school bus 11,000 rupees per year x 3 children)</t>
  </si>
  <si>
    <t>Children Daycare (8,500 rupees per year x 4 children)</t>
  </si>
  <si>
    <t>Incidental (legal fees, community formation)</t>
  </si>
  <si>
    <t>Client Transportation (2,500 rupees per month x 7 clients)</t>
  </si>
  <si>
    <t>RENEWAL (Agency to Shape Future) SUBTOTAL [Direct Program Cost]</t>
  </si>
  <si>
    <t>REINTEGRATION (Economic Independence)</t>
  </si>
  <si>
    <t>Literacy Training (Aadharshila MOU)</t>
  </si>
  <si>
    <t>Kusum Literacy Training -Anjala</t>
  </si>
  <si>
    <r>
      <t xml:space="preserve">Vocational School and </t>
    </r>
    <r>
      <rPr>
        <sz val="11"/>
        <rFont val="Calibri (Body)"/>
      </rPr>
      <t>Training</t>
    </r>
    <r>
      <rPr>
        <sz val="11"/>
        <rFont val="Calibri"/>
        <family val="2"/>
        <scheme val="minor"/>
      </rPr>
      <t xml:space="preserve"> (210,000 rupees Lakme School, 165,000 rupees Frankfinn)</t>
    </r>
  </si>
  <si>
    <t>Frankfinn Institute of Airhostess Training-Kusum Sujit Tamang, Lakme Academy -Kiran (R3G2), Aklima Support, Mel Institute</t>
  </si>
  <si>
    <t>Vocational School Related Cost (uniforms, books, materials, supplies)</t>
  </si>
  <si>
    <t>Vocational Skills Training (Kshamata MOU)</t>
  </si>
  <si>
    <t>Christmas Project Manager (Suman contract)</t>
  </si>
  <si>
    <t>Suman Jadhav (R3G2)</t>
  </si>
  <si>
    <r>
      <t>Christmas Project implementation (</t>
    </r>
    <r>
      <rPr>
        <sz val="11"/>
        <rFont val="Calibri (Body)"/>
      </rPr>
      <t>materials)</t>
    </r>
  </si>
  <si>
    <t>Krishna Fab &amp; Fashions, Silver Textile Materials, Alroza, Suman Expenses for September (R3G2)</t>
  </si>
  <si>
    <t>Christmas Project Client Support</t>
  </si>
  <si>
    <t>Pramila Sudhakarbabu Marupuri, Smita Dattaram Jadhav, Mamuni Gulamrasool Khan, Shanta Machindra Majakuri, Suman Shivprasad Yadav, Deborah T,Madhu Youvaraj Shirsath, Sushila Shinde, Renu R Maurya, Aarti Jadhav</t>
  </si>
  <si>
    <t>Trauma-Informed Counseling for Christmas Project Participants (ACT MOU Navjeevan)</t>
  </si>
  <si>
    <t>REINTEGRATION (Economic Independence) SUBTOTAL [Direct Program Cost]</t>
  </si>
  <si>
    <t>MONITORING &amp; EVALUATION</t>
  </si>
  <si>
    <t>Monitoring &amp; Evaluation (15% total budget)</t>
  </si>
  <si>
    <t>MONITORING &amp; EVALUATION SUBTOTAL [Direct Program Cost]</t>
  </si>
  <si>
    <t>FINANCIAL PROCESS &amp; REPORTING</t>
  </si>
  <si>
    <t>Fiscal Sponsor Financial Process &amp; Reporting (10% Harvest International Ministries)</t>
  </si>
  <si>
    <t>FINANCIAL PROCESS &amp; REPORTING SUBTOTAL [Indirect Cost Recovery]</t>
  </si>
  <si>
    <t>R3G2 PROJECT TOTAL BUDGET</t>
  </si>
  <si>
    <t>CONFIDENTIAL &amp; PROPRIETARY INFORMATION AND PROPERTY OF EMBERS INTERNATIONAL INC.</t>
  </si>
  <si>
    <t>Admin</t>
  </si>
  <si>
    <t>LOE</t>
  </si>
  <si>
    <t>CEO</t>
  </si>
  <si>
    <t>Director of Programs</t>
  </si>
  <si>
    <t>Director of Finance &amp; Ops</t>
  </si>
  <si>
    <t>Admin Associates</t>
  </si>
  <si>
    <t>Communications Associate</t>
  </si>
  <si>
    <t>Rate</t>
  </si>
  <si>
    <t>Salary</t>
  </si>
  <si>
    <t>Payroll &amp; UI</t>
  </si>
  <si>
    <t>Bonus</t>
  </si>
  <si>
    <t>$</t>
  </si>
  <si>
    <t>CEO ($175K market)</t>
  </si>
  <si>
    <t>% working</t>
  </si>
  <si>
    <t>Total</t>
  </si>
  <si>
    <t>or rate</t>
  </si>
  <si>
    <t>or hours/week</t>
  </si>
  <si>
    <t>Annual</t>
  </si>
  <si>
    <t>salary</t>
  </si>
  <si>
    <t>Medical</t>
  </si>
  <si>
    <t>check</t>
  </si>
  <si>
    <t>Staff</t>
  </si>
  <si>
    <t>School Tuition &amp; Fees</t>
  </si>
  <si>
    <t>Program Management (Staff)</t>
  </si>
  <si>
    <t>Books, Supplies &amp; Equipment</t>
  </si>
  <si>
    <t>Counseling</t>
  </si>
  <si>
    <t>Events</t>
  </si>
  <si>
    <t>Transporation</t>
  </si>
  <si>
    <t>Food &amp; Medical</t>
  </si>
  <si>
    <t>Monitoring &amp; Evaluation</t>
  </si>
  <si>
    <t>Financial Process &amp; Reporting</t>
  </si>
  <si>
    <t>Wages</t>
  </si>
  <si>
    <t>Health Insurance</t>
  </si>
  <si>
    <t>Training</t>
  </si>
  <si>
    <t>2023 Estimate</t>
  </si>
  <si>
    <t>Program Management (Staff) - TOTAL</t>
  </si>
  <si>
    <t>Mahima</t>
  </si>
  <si>
    <t>SDA</t>
  </si>
  <si>
    <t>Local Public Schools</t>
  </si>
  <si>
    <t>Uniforms</t>
  </si>
  <si>
    <t>Summer Camp</t>
  </si>
  <si>
    <t>Football Academy</t>
  </si>
  <si>
    <t>Note(s)</t>
  </si>
  <si>
    <t>1 director, 5 teachers, 1 liaison, 1/2 driver</t>
  </si>
  <si>
    <t>Computer Class</t>
  </si>
  <si>
    <t>Drawing Class</t>
  </si>
  <si>
    <t>Music Class</t>
  </si>
  <si>
    <t>Excursion Trip for Nursery &amp; Tuition</t>
  </si>
  <si>
    <t>Enrollment Prep Fees (e.g. legal)</t>
  </si>
  <si>
    <t>SDA Joining Fees</t>
  </si>
  <si>
    <t>Mahima Application Fees</t>
  </si>
  <si>
    <t>Musical Instruments</t>
  </si>
  <si>
    <t>$250/person/year</t>
  </si>
  <si>
    <t>FCRA direct payment; 9 additional in 2024; total 74 students</t>
  </si>
  <si>
    <t>payment via fiscal partner; 4 additional in 2024; 6 students</t>
  </si>
  <si>
    <t>$ change</t>
  </si>
  <si>
    <t>% change</t>
  </si>
  <si>
    <t>N/A</t>
  </si>
  <si>
    <t>3 new students</t>
  </si>
  <si>
    <t>3,000 rupees per set</t>
  </si>
  <si>
    <t>60 students x 6,000 rupees + snack</t>
  </si>
  <si>
    <t>3 students</t>
  </si>
  <si>
    <t>5 students</t>
  </si>
  <si>
    <t>60 students</t>
  </si>
  <si>
    <t>10 students</t>
  </si>
  <si>
    <t>61-key electronic, guitar</t>
  </si>
  <si>
    <t>EMBERS INTERNATIONAL INC. 2024 PROPOSED BUDGET</t>
  </si>
  <si>
    <t>PROGRAM</t>
  </si>
  <si>
    <t>see program budget</t>
  </si>
  <si>
    <t>Chief Executive Officer (50% LOE)</t>
  </si>
  <si>
    <t>volunteer x allot 50% of time to program, market rate $175,000 x 50% level of effort</t>
  </si>
  <si>
    <t>Director of Programs (100% LOE)</t>
  </si>
  <si>
    <t>wage [part-time 0.625 (25 hours/wk) x $120,000/yr x 100% level of effort] + payroll &amp; UI taxes [12% gross pay] + bonus [10% gross pay] = $75,000 + $9,000 + $7,500</t>
  </si>
  <si>
    <t>Director of Finance and Operations (70% LOE)</t>
  </si>
  <si>
    <t>independent contractor 0.4 (2 days/wk) x $150,000/yr x 70% level of effort</t>
  </si>
  <si>
    <t>Administrative Associates (40% LOE)</t>
  </si>
  <si>
    <t>wage [part-time 10-20 hours/wk x 52 weeks x $30 per hour x 40% level of effort] + payroll &amp; UI taxes [12% x 40% gross pay] + bonus [10% x 40% gross pay] + medical insurance [$4,506 x 40%] = $12,480 + $1,497.60 + $1,248 + $1,802</t>
  </si>
  <si>
    <t>Project Management Tools</t>
  </si>
  <si>
    <t>Zoom $18/mo. + Notion $20/mo. + Google $186/mo. = $224</t>
  </si>
  <si>
    <t>PROGRAM SUBTOTAL (79% OF TOTAL BUDGET)</t>
  </si>
  <si>
    <t>DEVELOPMENT</t>
  </si>
  <si>
    <t>volunteer x allot 50% of time to development, market rate $175,000 x 50% level of effort</t>
  </si>
  <si>
    <t>Director of Finance and Operations (30% LOE)</t>
  </si>
  <si>
    <t xml:space="preserve">independent contractor 0.4 (2 days/wk) x $150,000/yr x 30% level of effort </t>
  </si>
  <si>
    <t>Communications Associate (100% LOE)</t>
  </si>
  <si>
    <t>wage [part-time 0.6 (3 days/wk) x $64,000/yr x 100% level of effort] + payroll &amp; UI taxes [12% gross pay] + bonus [10% gross pay] = $38,400 + $4,608 + $3,840</t>
  </si>
  <si>
    <t>Administrative Associate (30% LOE)</t>
  </si>
  <si>
    <t>wage [part-time 10-20 hours/wk x 52 weeks x $30 per hour x 30% level of effort] + payroll &amp; UI taxes [12% x 30% gross pay] + bonus [10% x 30% gross pay] + medical insurance [$4,506 x 30%] = $9,360 + $1,123.20 + $936 + $1,351.80</t>
  </si>
  <si>
    <t>see communications budget</t>
  </si>
  <si>
    <t>Gala &amp; Ambassadors Community</t>
  </si>
  <si>
    <t>Grant Application</t>
  </si>
  <si>
    <t>DEVELOPMENT SUBTOTAL (14.6% OF TOTAL BUDGET)</t>
  </si>
  <si>
    <t>ADMINISTRATION</t>
  </si>
  <si>
    <t>Retirement Account Administration</t>
  </si>
  <si>
    <t>Board Meeting</t>
  </si>
  <si>
    <t>Bank Charge &amp; Credit Card Fee</t>
  </si>
  <si>
    <t>Payroll Service Fee (Gusto)</t>
  </si>
  <si>
    <t>Workers Comp Insurance</t>
  </si>
  <si>
    <t>D&amp;O Insurance</t>
  </si>
  <si>
    <t>Office Supplies &amp; Equipment</t>
  </si>
  <si>
    <t>computer, stationary</t>
  </si>
  <si>
    <t>Office Rent &amp; Utilities</t>
  </si>
  <si>
    <t>corporate sponsorship by Shim &amp; Associates, market rate $24,000</t>
  </si>
  <si>
    <t>ADMINISTRATION SUBTOTAL (6.4% OF TOTAL BUDGET)</t>
  </si>
  <si>
    <t>2024 PROPOSED BUDGET TOTAL (without RESERVE)</t>
  </si>
  <si>
    <t>RESERVE FUND (6 MONTHS)</t>
  </si>
  <si>
    <t>2024 PROPOSED BUDGET TOTAL (with RESERVE)</t>
  </si>
  <si>
    <r>
      <rPr>
        <b/>
        <sz val="7.5"/>
        <rFont val="Arial"/>
        <family val="2"/>
      </rPr>
      <t>COMMUNICATIONS</t>
    </r>
  </si>
  <si>
    <r>
      <rPr>
        <sz val="6"/>
        <rFont val="Arial"/>
        <family val="2"/>
      </rPr>
      <t>EXP. CODE</t>
    </r>
  </si>
  <si>
    <r>
      <rPr>
        <sz val="6"/>
        <rFont val="Arial"/>
        <family val="2"/>
      </rPr>
      <t>ITEM</t>
    </r>
  </si>
  <si>
    <r>
      <rPr>
        <sz val="6"/>
        <rFont val="Arial"/>
        <family val="2"/>
      </rPr>
      <t>DETAILS</t>
    </r>
  </si>
  <si>
    <r>
      <rPr>
        <sz val="6"/>
        <rFont val="Arial"/>
        <family val="2"/>
      </rPr>
      <t>JAN</t>
    </r>
  </si>
  <si>
    <r>
      <rPr>
        <sz val="6"/>
        <rFont val="Arial"/>
        <family val="2"/>
      </rPr>
      <t>FEB</t>
    </r>
  </si>
  <si>
    <r>
      <rPr>
        <sz val="6"/>
        <rFont val="Arial"/>
        <family val="2"/>
      </rPr>
      <t>MAR</t>
    </r>
  </si>
  <si>
    <r>
      <rPr>
        <sz val="6"/>
        <rFont val="Arial"/>
        <family val="2"/>
      </rPr>
      <t>APR</t>
    </r>
  </si>
  <si>
    <r>
      <rPr>
        <sz val="6"/>
        <rFont val="Arial"/>
        <family val="2"/>
      </rPr>
      <t>MAY</t>
    </r>
  </si>
  <si>
    <r>
      <rPr>
        <sz val="6"/>
        <rFont val="Arial"/>
        <family val="2"/>
      </rPr>
      <t>JUN</t>
    </r>
  </si>
  <si>
    <r>
      <rPr>
        <sz val="6"/>
        <rFont val="Arial"/>
        <family val="2"/>
      </rPr>
      <t>JUL</t>
    </r>
  </si>
  <si>
    <r>
      <rPr>
        <sz val="6"/>
        <rFont val="Arial"/>
        <family val="2"/>
      </rPr>
      <t>AUG</t>
    </r>
  </si>
  <si>
    <r>
      <rPr>
        <sz val="6"/>
        <rFont val="Arial"/>
        <family val="2"/>
      </rPr>
      <t>SEP</t>
    </r>
  </si>
  <si>
    <r>
      <rPr>
        <sz val="6"/>
        <rFont val="Arial"/>
        <family val="2"/>
      </rPr>
      <t>OCT</t>
    </r>
  </si>
  <si>
    <r>
      <rPr>
        <sz val="6"/>
        <rFont val="Arial"/>
        <family val="2"/>
      </rPr>
      <t>NOV</t>
    </r>
  </si>
  <si>
    <r>
      <rPr>
        <sz val="6"/>
        <rFont val="Arial"/>
        <family val="2"/>
      </rPr>
      <t>DEC</t>
    </r>
  </si>
  <si>
    <r>
      <rPr>
        <sz val="6"/>
        <rFont val="Arial"/>
        <family val="2"/>
      </rPr>
      <t>TOTAL</t>
    </r>
  </si>
  <si>
    <r>
      <rPr>
        <sz val="6"/>
        <rFont val="Arial"/>
        <family val="2"/>
      </rPr>
      <t>WEBSITE &amp; REPORTING</t>
    </r>
  </si>
  <si>
    <r>
      <rPr>
        <sz val="6"/>
        <rFont val="Arial"/>
        <family val="2"/>
      </rPr>
      <t>Newsletter</t>
    </r>
  </si>
  <si>
    <r>
      <rPr>
        <sz val="6"/>
        <rFont val="Arial"/>
        <family val="2"/>
      </rPr>
      <t>Mailchimp subscription</t>
    </r>
  </si>
  <si>
    <r>
      <rPr>
        <sz val="6"/>
        <rFont val="Arial"/>
        <family val="2"/>
      </rPr>
      <t>Stock video</t>
    </r>
  </si>
  <si>
    <r>
      <rPr>
        <sz val="6"/>
        <rFont val="Arial"/>
        <family val="2"/>
      </rPr>
      <t>Canva</t>
    </r>
  </si>
  <si>
    <r>
      <rPr>
        <sz val="6"/>
        <rFont val="Arial"/>
        <family val="2"/>
      </rPr>
      <t>Written Materials</t>
    </r>
  </si>
  <si>
    <r>
      <rPr>
        <sz val="6"/>
        <rFont val="Arial"/>
        <family val="2"/>
      </rPr>
      <t>essay, sticker, postcard printing</t>
    </r>
  </si>
  <si>
    <r>
      <rPr>
        <sz val="6"/>
        <rFont val="Arial"/>
        <family val="2"/>
      </rPr>
      <t>Annual Report</t>
    </r>
  </si>
  <si>
    <r>
      <rPr>
        <sz val="6"/>
        <rFont val="Arial"/>
        <family val="2"/>
      </rPr>
      <t>200 copies</t>
    </r>
  </si>
  <si>
    <r>
      <rPr>
        <sz val="6"/>
        <rFont val="Arial"/>
        <family val="2"/>
      </rPr>
      <t>Aplos</t>
    </r>
  </si>
  <si>
    <r>
      <rPr>
        <sz val="6"/>
        <rFont val="Arial"/>
        <family val="2"/>
      </rPr>
      <t>Monthly subscription</t>
    </r>
  </si>
  <si>
    <r>
      <rPr>
        <sz val="6"/>
        <rFont val="Arial"/>
        <family val="2"/>
      </rPr>
      <t>Website Maintenance</t>
    </r>
  </si>
  <si>
    <r>
      <rPr>
        <sz val="6"/>
        <rFont val="Arial"/>
        <family val="2"/>
      </rPr>
      <t>annual renewal</t>
    </r>
  </si>
  <si>
    <r>
      <rPr>
        <sz val="6"/>
        <rFont val="Arial"/>
        <family val="2"/>
      </rPr>
      <t>WEBSITE &amp; REPORTING SUBTOTAL</t>
    </r>
  </si>
  <si>
    <r>
      <rPr>
        <sz val="6"/>
        <rFont val="Arial"/>
        <family val="2"/>
      </rPr>
      <t>GALA &amp; AMBASSADORS COMMUNITY</t>
    </r>
  </si>
  <si>
    <r>
      <rPr>
        <sz val="6"/>
        <rFont val="Arial"/>
        <family val="2"/>
      </rPr>
      <t>Film Production</t>
    </r>
  </si>
  <si>
    <r>
      <rPr>
        <sz val="6"/>
        <rFont val="Arial"/>
        <family val="2"/>
      </rPr>
      <t>Studio7</t>
    </r>
  </si>
  <si>
    <r>
      <rPr>
        <sz val="6"/>
        <rFont val="Arial"/>
        <family val="2"/>
      </rPr>
      <t>Gala Honorarium</t>
    </r>
  </si>
  <si>
    <r>
      <rPr>
        <sz val="6"/>
        <rFont val="Arial"/>
        <family val="2"/>
      </rPr>
      <t>2 artists</t>
    </r>
  </si>
  <si>
    <r>
      <rPr>
        <sz val="6"/>
        <rFont val="Arial"/>
        <family val="2"/>
      </rPr>
      <t>Viewing Party Kit</t>
    </r>
  </si>
  <si>
    <r>
      <rPr>
        <sz val="6"/>
        <rFont val="Arial"/>
        <family val="2"/>
      </rPr>
      <t>30 kits x $60</t>
    </r>
  </si>
  <si>
    <r>
      <rPr>
        <sz val="6"/>
        <rFont val="Arial"/>
        <family val="2"/>
      </rPr>
      <t>Donor Gift</t>
    </r>
  </si>
  <si>
    <r>
      <rPr>
        <sz val="6"/>
        <rFont val="Arial"/>
        <family val="2"/>
      </rPr>
      <t>gift and shipping</t>
    </r>
  </si>
  <si>
    <r>
      <rPr>
        <sz val="6"/>
        <rFont val="Arial"/>
        <family val="2"/>
      </rPr>
      <t>Welcome to Embers Kit</t>
    </r>
  </si>
  <si>
    <r>
      <rPr>
        <sz val="6"/>
        <rFont val="Arial"/>
        <family val="2"/>
      </rPr>
      <t>30 kits x $15</t>
    </r>
  </si>
  <si>
    <r>
      <rPr>
        <sz val="6"/>
        <rFont val="Arial"/>
        <family val="2"/>
      </rPr>
      <t>Artist Advocate Kit</t>
    </r>
  </si>
  <si>
    <r>
      <rPr>
        <sz val="6"/>
        <rFont val="Arial"/>
        <family val="2"/>
      </rPr>
      <t>30 kits x $10</t>
    </r>
  </si>
  <si>
    <r>
      <rPr>
        <sz val="6"/>
        <rFont val="Arial"/>
        <family val="2"/>
      </rPr>
      <t>Community Advocate Kit</t>
    </r>
  </si>
  <si>
    <r>
      <rPr>
        <sz val="6"/>
        <rFont val="Arial"/>
        <family val="2"/>
      </rPr>
      <t>CAFO Membership</t>
    </r>
  </si>
  <si>
    <r>
      <rPr>
        <sz val="6"/>
        <rFont val="Arial"/>
        <family val="2"/>
      </rPr>
      <t>Ambassadors Gathering</t>
    </r>
  </si>
  <si>
    <r>
      <rPr>
        <sz val="6"/>
        <rFont val="Arial"/>
        <family val="2"/>
      </rPr>
      <t>GALA &amp; AMBASSADORS COMMUNITY SUBTOTAL</t>
    </r>
  </si>
  <si>
    <r>
      <rPr>
        <sz val="6"/>
        <rFont val="Arial"/>
        <family val="2"/>
      </rPr>
      <t>GRANT APPLICATION</t>
    </r>
  </si>
  <si>
    <r>
      <rPr>
        <sz val="6"/>
        <rFont val="Arial"/>
        <family val="2"/>
      </rPr>
      <t>Grant Inquiry</t>
    </r>
  </si>
  <si>
    <r>
      <rPr>
        <sz val="6"/>
        <rFont val="Arial"/>
        <family val="2"/>
      </rPr>
      <t>transportation</t>
    </r>
  </si>
  <si>
    <r>
      <rPr>
        <sz val="6"/>
        <rFont val="Arial"/>
        <family val="2"/>
      </rPr>
      <t>Application</t>
    </r>
  </si>
  <si>
    <r>
      <rPr>
        <sz val="6"/>
        <rFont val="Arial"/>
        <family val="2"/>
      </rPr>
      <t>Grantor Meeting</t>
    </r>
  </si>
  <si>
    <r>
      <rPr>
        <sz val="6"/>
        <rFont val="Arial"/>
        <family val="2"/>
      </rPr>
      <t>GRANT APPLICATION SUBTOTAL</t>
    </r>
  </si>
  <si>
    <r>
      <rPr>
        <vertAlign val="superscript"/>
        <sz val="6"/>
        <rFont val="Arial"/>
        <family val="2"/>
      </rPr>
      <t xml:space="preserve">PROJECT MANAGEMENT  TOTAL                                                                                                                              </t>
    </r>
    <r>
      <rPr>
        <sz val="6"/>
        <rFont val="Arial"/>
        <family val="2"/>
      </rPr>
      <t>$17,301</t>
    </r>
  </si>
  <si>
    <r>
      <rPr>
        <sz val="6"/>
        <rFont val="Arial"/>
        <family val="2"/>
      </rPr>
      <t>PROJECT MANAGEMENT</t>
    </r>
  </si>
  <si>
    <r>
      <rPr>
        <sz val="6"/>
        <rFont val="Arial"/>
        <family val="2"/>
      </rPr>
      <t>Notion</t>
    </r>
  </si>
  <si>
    <r>
      <rPr>
        <sz val="6"/>
        <rFont val="Arial"/>
        <family val="2"/>
      </rPr>
      <t>Zoom</t>
    </r>
  </si>
  <si>
    <r>
      <rPr>
        <sz val="6"/>
        <rFont val="Arial"/>
        <family val="2"/>
      </rPr>
      <t>Google</t>
    </r>
  </si>
  <si>
    <r>
      <rPr>
        <sz val="6"/>
        <rFont val="Arial"/>
        <family val="2"/>
      </rPr>
      <t>PROJECT MANAGEMENT TOTAL</t>
    </r>
  </si>
  <si>
    <t>Domain Name</t>
  </si>
  <si>
    <t>Office rent &amp; utilities</t>
  </si>
  <si>
    <t>Sahasee Embers Charitable Trust Salary Scale - 2023</t>
  </si>
  <si>
    <t>Market Rates</t>
  </si>
  <si>
    <t>Grade</t>
  </si>
  <si>
    <t>Level/Title</t>
  </si>
  <si>
    <t>Qualifications</t>
  </si>
  <si>
    <t>Year joined SECT</t>
  </si>
  <si>
    <t>Years of Experience</t>
  </si>
  <si>
    <t>F/T or P/T</t>
  </si>
  <si>
    <t>Current Monthly Salary (2023)</t>
  </si>
  <si>
    <t>Proposed Salary (2024)</t>
  </si>
  <si>
    <t>Annual (2024)</t>
  </si>
  <si>
    <t>Minimum (0-3 yrs experience)
 Monthly/Annual</t>
  </si>
  <si>
    <t>Midpoint (3-6 yrs experience)
 Monthly/Annual</t>
  </si>
  <si>
    <t>Maximum (6yrs +)
 Monthly/Annual</t>
  </si>
  <si>
    <t>Executive Level</t>
  </si>
  <si>
    <t>Rs. 50,000 /
Rs. 600,000</t>
  </si>
  <si>
    <t>Rs. 60,000 /
Rs. 720,000</t>
  </si>
  <si>
    <t>Above 60,000/mo</t>
  </si>
  <si>
    <t>Founder</t>
  </si>
  <si>
    <t xml:space="preserve">Pastor Guy </t>
  </si>
  <si>
    <t>ask for CV</t>
  </si>
  <si>
    <t>Sister Vani</t>
  </si>
  <si>
    <t xml:space="preserve">MSW pending </t>
  </si>
  <si>
    <t>Senior Director Level</t>
  </si>
  <si>
    <t>Director Level</t>
  </si>
  <si>
    <t>Rs. 40,000 /
Rs. 480,000</t>
  </si>
  <si>
    <t>Rs. 45,000 /
Rs. 540,000</t>
  </si>
  <si>
    <t>Above 45,000/mo</t>
  </si>
  <si>
    <t>Director of Education*</t>
  </si>
  <si>
    <t xml:space="preserve">Susanna </t>
  </si>
  <si>
    <t>Masters Social Work, Bachelors in education</t>
  </si>
  <si>
    <t>Senior Manager Level</t>
  </si>
  <si>
    <t>Rs. 25,000 /
Rs. 300,000</t>
  </si>
  <si>
    <t>Rs. 30,000 /
Rs. 360,000</t>
  </si>
  <si>
    <t>Rs. 35,000 /
Rs. 420,000</t>
  </si>
  <si>
    <t>Operation Manager</t>
  </si>
  <si>
    <t>Merlyn</t>
  </si>
  <si>
    <t>Bachelor Social Work,Advance Diploma in Computer Applications, Certificate in Teachers Training Course,Certificate in Christian Counseling</t>
  </si>
  <si>
    <t xml:space="preserve">F/T   </t>
  </si>
  <si>
    <t>Senior Teacher*</t>
  </si>
  <si>
    <t>Dipti</t>
  </si>
  <si>
    <t>Master in Arts,Bachelors in Education</t>
  </si>
  <si>
    <t>F/T</t>
  </si>
  <si>
    <t>Associate Level</t>
  </si>
  <si>
    <t>Rs. 16,000 /
Rs. 192,000</t>
  </si>
  <si>
    <t>Rs. 23,000 /
Rs. 276,000</t>
  </si>
  <si>
    <t>Rs. 27,000 /
Rs. 324,000</t>
  </si>
  <si>
    <t>Teacher*</t>
  </si>
  <si>
    <t>Ujjwala</t>
  </si>
  <si>
    <t>Bachelors in Business and Finance, Bachelors in Education</t>
  </si>
  <si>
    <t>Sunita (on sick leave until Dec)</t>
  </si>
  <si>
    <t>2nd Year Bachelors in Arts, Diploma in Education</t>
  </si>
  <si>
    <t>English Medium Teacher*</t>
  </si>
  <si>
    <t>To be filled</t>
  </si>
  <si>
    <t>P/T</t>
  </si>
  <si>
    <t>Social Worker/Community Liaison*</t>
  </si>
  <si>
    <t>Sangeeta</t>
  </si>
  <si>
    <t>Appearing for 10th &amp;12th Grade</t>
  </si>
  <si>
    <t xml:space="preserve">Social Worker </t>
  </si>
  <si>
    <t>Supriya</t>
  </si>
  <si>
    <t>Bachelor Social Work</t>
  </si>
  <si>
    <t>Social Worker/HIV</t>
  </si>
  <si>
    <t>Priyanka</t>
  </si>
  <si>
    <t>7th Grade (pursuing Open School?)</t>
  </si>
  <si>
    <t>Administrative Assistant</t>
  </si>
  <si>
    <t>Sadhana</t>
  </si>
  <si>
    <t>10th Grade studying for 12th</t>
  </si>
  <si>
    <t>Entry Level Professional</t>
  </si>
  <si>
    <t>Rs. 10,000 /
Rs. 120,000</t>
  </si>
  <si>
    <t>Rs. 13,000 /
Rs. 156,000</t>
  </si>
  <si>
    <t>Rs. 15,000 /
Rs. 180,000</t>
  </si>
  <si>
    <t xml:space="preserve">Nursery Teacher*
</t>
  </si>
  <si>
    <t xml:space="preserve">Nitu </t>
  </si>
  <si>
    <t>12th,Certificate in Nursery teachers Training</t>
  </si>
  <si>
    <t>Operations Assistant</t>
  </si>
  <si>
    <t>Ankush</t>
  </si>
  <si>
    <t>Substitute Teacher</t>
  </si>
  <si>
    <t>Poonam</t>
  </si>
  <si>
    <t xml:space="preserve">Pursuing Open School for 12th </t>
  </si>
  <si>
    <t>Oct-Dec 2023</t>
  </si>
  <si>
    <t>Support Level</t>
  </si>
  <si>
    <t>Rs. 12,000 /
Rs. 144,000</t>
  </si>
  <si>
    <t>Rs. 20,000 /
Rs. 240,000</t>
  </si>
  <si>
    <t>Head of Housekeeping</t>
  </si>
  <si>
    <t>Rasika</t>
  </si>
  <si>
    <t>No Formal Education</t>
  </si>
  <si>
    <t>Housekeeping</t>
  </si>
  <si>
    <t>Sarita</t>
  </si>
  <si>
    <t>8th grade</t>
  </si>
  <si>
    <t xml:space="preserve">Rita </t>
  </si>
  <si>
    <t>2nd grade</t>
  </si>
  <si>
    <t>SECT staff only:</t>
  </si>
  <si>
    <t>Driver</t>
  </si>
  <si>
    <t xml:space="preserve">Nagendra </t>
  </si>
  <si>
    <t xml:space="preserve">10th grade   </t>
  </si>
  <si>
    <t>??</t>
  </si>
  <si>
    <t>Driver*</t>
  </si>
  <si>
    <t>Head Cook</t>
  </si>
  <si>
    <t xml:space="preserve">Vanita </t>
  </si>
  <si>
    <t>10th grade</t>
  </si>
  <si>
    <r>
      <rPr>
        <sz val="11"/>
        <color rgb="FFFF0000"/>
        <rFont val="Calibri"/>
        <family val="2"/>
        <scheme val="minor"/>
      </rPr>
      <t>*red</t>
    </r>
    <r>
      <rPr>
        <sz val="12"/>
        <color theme="1"/>
        <rFont val="Calibri"/>
        <family val="2"/>
        <scheme val="minor"/>
      </rPr>
      <t xml:space="preserve"> indicates prior professional experience is unknown, only years of experience at SECT</t>
    </r>
  </si>
  <si>
    <r>
      <rPr>
        <sz val="11"/>
        <color rgb="FF0070C0"/>
        <rFont val="Calibri"/>
        <family val="2"/>
        <scheme val="minor"/>
      </rPr>
      <t>*blue</t>
    </r>
    <r>
      <rPr>
        <sz val="12"/>
        <color theme="1"/>
        <rFont val="Calibri"/>
        <family val="2"/>
        <scheme val="minor"/>
      </rPr>
      <t xml:space="preserve"> indicates GRACE Initiative Staff</t>
    </r>
  </si>
  <si>
    <t>Books &amp; School Bags</t>
  </si>
  <si>
    <t>Stationery &amp; Educational Supplies</t>
  </si>
  <si>
    <t>Laptop Maintenance (antivirus &amp; servicing costs)</t>
  </si>
  <si>
    <t>Laptop for Head Teacher</t>
  </si>
  <si>
    <t>Mobile Phone Recharge (Annual)</t>
  </si>
  <si>
    <t>Trauma-informed Counseling (ACT)</t>
  </si>
  <si>
    <t>SDA School Bus</t>
  </si>
  <si>
    <t>Staff Transportation</t>
  </si>
  <si>
    <t>Transportation for football classes</t>
  </si>
  <si>
    <t>Additional 15 students</t>
  </si>
  <si>
    <t>e.g. birthdays, Christmas, Republic Day</t>
  </si>
  <si>
    <t xml:space="preserve">Mahima School Bus </t>
  </si>
  <si>
    <t>Food</t>
  </si>
  <si>
    <t>Medical Tests &amp; Supplements</t>
  </si>
  <si>
    <t>10% Harvest Internationial Ministries</t>
  </si>
  <si>
    <t>Fiscal Sponsor Financial Process &amp; Reporting</t>
  </si>
  <si>
    <t>TOTAL</t>
  </si>
  <si>
    <t>Prog</t>
  </si>
  <si>
    <t>Dev</t>
  </si>
  <si>
    <t>% of total</t>
  </si>
  <si>
    <t>w/o reserve</t>
  </si>
  <si>
    <t>LEGACY EDUCATION</t>
  </si>
  <si>
    <t>Vision: Legacy Education graduates from higher education institutions, become empowered leaders in their careers, industries, and communities, and return to their communities to give back to the next generation of students and become mentors and role models.</t>
  </si>
  <si>
    <t>Goal: Empower survivors of human trafficking and at-risk youth from the lowest caste in order to end the cycle of intergenerational exploitation and oppression.</t>
  </si>
  <si>
    <t>Problem: Survivors of human trafficking and at-risk youth from the lowest caste face low educational attainment and lack supportive resources and opportunities that trap them into a cycle of exploitation.</t>
  </si>
  <si>
    <t>Client in 2024: 12 students</t>
  </si>
  <si>
    <t>2023 TOTAL EXPENDITURE</t>
  </si>
  <si>
    <t>2024 PROPOSED BUDGET FOR LEGACY EDUCATION</t>
  </si>
  <si>
    <t>EDUCATION</t>
  </si>
  <si>
    <t>No.</t>
  </si>
  <si>
    <t>Student</t>
  </si>
  <si>
    <t>School</t>
  </si>
  <si>
    <t>Current Year</t>
  </si>
  <si>
    <t>Employment</t>
  </si>
  <si>
    <t>Annual fees</t>
  </si>
  <si>
    <t>Supplies</t>
  </si>
  <si>
    <t>Exam fees</t>
  </si>
  <si>
    <t>Fees</t>
  </si>
  <si>
    <t>Laxmi</t>
  </si>
  <si>
    <t>Lakme Cosmetology</t>
  </si>
  <si>
    <t xml:space="preserve">Final </t>
  </si>
  <si>
    <t xml:space="preserve">Priyanka </t>
  </si>
  <si>
    <t xml:space="preserve">Adkwika Nursing </t>
  </si>
  <si>
    <t>3rd (final)</t>
  </si>
  <si>
    <t>Sonam</t>
  </si>
  <si>
    <t>Chandi</t>
  </si>
  <si>
    <t>Madhu</t>
  </si>
  <si>
    <t>Sant Eknath College</t>
  </si>
  <si>
    <t>Government Hospital</t>
  </si>
  <si>
    <t>Roshni</t>
  </si>
  <si>
    <t>Hospital</t>
  </si>
  <si>
    <t>Shankar</t>
  </si>
  <si>
    <t xml:space="preserve">Kohinoor Technical Institute </t>
  </si>
  <si>
    <t>1 yr program-completed</t>
  </si>
  <si>
    <t>Vikas</t>
  </si>
  <si>
    <t>University of Mumbai - Master's Degree in English Literature</t>
  </si>
  <si>
    <t>To start 2024</t>
  </si>
  <si>
    <t>Zeenat</t>
  </si>
  <si>
    <t>Indian Aerospace &amp; Engineering</t>
  </si>
  <si>
    <t xml:space="preserve">3rd   </t>
  </si>
  <si>
    <t>Muskan</t>
  </si>
  <si>
    <t xml:space="preserve">Technical Institute of Interior &amp; Fashion Studies </t>
  </si>
  <si>
    <t>Aradhana</t>
  </si>
  <si>
    <t xml:space="preserve">Frankefinne Institute of Airhostess training </t>
  </si>
  <si>
    <t>Completed</t>
  </si>
  <si>
    <t>Airline Co.</t>
  </si>
  <si>
    <t>EDUCATION SUBTOTAL</t>
  </si>
  <si>
    <t>CASE MANAGEMENT (STAFF)</t>
  </si>
  <si>
    <t>Case Manager (Deborah Thomas)</t>
  </si>
  <si>
    <t>Counseling (Sumith Uni)</t>
  </si>
  <si>
    <t>Case Management Support (gathering, transportation, supplies)</t>
  </si>
  <si>
    <t>CASE MANAGEMENT (STAFF) SUBTOTAL</t>
  </si>
  <si>
    <t>MONITORING &amp; EVALUATION SUBTOTAL</t>
  </si>
  <si>
    <t>FINANCIAL PROCESS &amp; REPORTING SUBTOTAL</t>
  </si>
  <si>
    <t>LEGACY EDUCATION TOTAL BUDGET</t>
  </si>
  <si>
    <t>SAHASEE EMBERS CULTURAL CENTER</t>
  </si>
  <si>
    <t>Vision: Sahasee Embers Cultural Center is a hub of various programs of Embers designed to end intergenerational exploitation and to prevent human trafficking in Turbhe red-light district.</t>
  </si>
  <si>
    <t>Goal: Sahasee Embers Cultural Center continues to serve the community of Turbhe red-light district as a beacon of light that catalyzes its transformation into a place of safety and flourishing.</t>
  </si>
  <si>
    <t>Problem: Trafficked victims and their children live in an overwhelmingly violent, dark, and unsafe community where it is difficult to imagine a world of hope, freedom, and beauty. They do not have a safe place of shelter or a connection to a dedicated team in close proximity that they can ask for help in their journey toward freedom.</t>
  </si>
  <si>
    <t>Client in 2024: 120 G.R.A.C.E. Initiative students, 18 R3G2 Project clients, 25 outreach clients, hundreds of residents of Turbhe red-light district</t>
  </si>
  <si>
    <t>2023 EXPENDITURE TO DATE                               (JAN. 1 - NOV. 17)</t>
  </si>
  <si>
    <t>2024 PROPOSED BUDGET FOR SAHASEE EMBERS CULTURAL CENTER</t>
  </si>
  <si>
    <t>STAFF</t>
  </si>
  <si>
    <t>Wages (12.5 staff, 1 consultant)</t>
  </si>
  <si>
    <t>Health Insurance ($250/person/yr)</t>
  </si>
  <si>
    <t>New India Assurance, SBI General Insurance-Rasika</t>
  </si>
  <si>
    <t>STAFF SUBTOTAL</t>
  </si>
  <si>
    <t>FOOD &amp; SUPPLIES</t>
  </si>
  <si>
    <t>Supplies (tissue paper, paper cups, toiletries, batteries, laundry)</t>
  </si>
  <si>
    <t>Gebi Enterprises</t>
  </si>
  <si>
    <t>Groceries Ration Sahasee, Ambika/Mukesh Dhanya Bhandar(Kanji Ramji), MK Stores -Groceries, The Food Master</t>
  </si>
  <si>
    <t>Supplies for Communication (printing, banner)</t>
  </si>
  <si>
    <t>Bhagwati Digital, Bhagwati Stationers</t>
  </si>
  <si>
    <t>Advance to Sahasee (van gas , tire repair, vegetable, gas cylinder refill 2 every month, emergency travel when van unavailable)</t>
  </si>
  <si>
    <t>Advance to Sahasee</t>
  </si>
  <si>
    <t>FOOD &amp; SUPPLIES SUBTOTAL</t>
  </si>
  <si>
    <t>FACILITY &amp; VEHICLE</t>
  </si>
  <si>
    <t>Furniture</t>
  </si>
  <si>
    <t>Utilities (electricity, surveillance, internet)</t>
  </si>
  <si>
    <t>Electricity bill (Sahasee, Robins Nest), S Technology, CCTV</t>
  </si>
  <si>
    <t>Maintenance</t>
  </si>
  <si>
    <t>3D Services AMC of AC, Advance Power Systems (Inverter), Hanmant Jadhav bathroom repair, Hanumant Kisan Jadhav pumbing work</t>
  </si>
  <si>
    <t>Expansion (Robin's Nest, children's roof)</t>
  </si>
  <si>
    <t>Laptop &amp; Mobile Repair</t>
  </si>
  <si>
    <t>Compuscroll Invoice No G634</t>
  </si>
  <si>
    <t>Vehicle Repair</t>
  </si>
  <si>
    <t>Guardex Tyre Service</t>
  </si>
  <si>
    <t>FACILITY &amp; VEHICLE SUBTOTAL</t>
  </si>
  <si>
    <t>TRANSPORTATION</t>
  </si>
  <si>
    <t>Travel</t>
  </si>
  <si>
    <t>TRANSPORTATION SUBTOTAL</t>
  </si>
  <si>
    <t>SAHASEE EMBERS CULTURAL CENTER TOTAL</t>
  </si>
  <si>
    <t></t>
  </si>
  <si>
    <t>12.5 staff, 1 consultant</t>
  </si>
  <si>
    <t>Food &amp; Supplies</t>
  </si>
  <si>
    <t>tissue paper, paper cups, toiletries, batteries, laundry</t>
  </si>
  <si>
    <t>Supplies for communications</t>
  </si>
  <si>
    <t>printing, banners</t>
  </si>
  <si>
    <t>van gas, tire repair, vegetable, gas cylinder refell very other month, emergency travel when van not available</t>
  </si>
  <si>
    <t>Facility &amp; Vehicle</t>
  </si>
  <si>
    <t>Utilities</t>
  </si>
  <si>
    <t>Expansion</t>
  </si>
  <si>
    <t>Transportation</t>
  </si>
  <si>
    <t>Staff transportation</t>
  </si>
  <si>
    <t>Case Manager</t>
  </si>
  <si>
    <t>Case management support</t>
  </si>
  <si>
    <t>Program Manager</t>
  </si>
  <si>
    <t>Area</t>
  </si>
  <si>
    <t>Case Management</t>
  </si>
  <si>
    <t>Tuition, training</t>
  </si>
  <si>
    <t>Reintegration</t>
  </si>
  <si>
    <t>Literacy Training</t>
  </si>
  <si>
    <t>Vocational School &amp; Training</t>
  </si>
  <si>
    <t>Vocational School Related Cost</t>
  </si>
  <si>
    <t>Vocational Skills Training</t>
  </si>
  <si>
    <t>Christmas Project Manager</t>
  </si>
  <si>
    <t xml:space="preserve">Christmas Project Implementation </t>
  </si>
  <si>
    <t>materials</t>
  </si>
  <si>
    <t>Aadharshila MOU</t>
  </si>
  <si>
    <t>Lakme, Frankfinn</t>
  </si>
  <si>
    <t>uniforms, books, materials, supplies</t>
  </si>
  <si>
    <t>Kshamata MOU</t>
  </si>
  <si>
    <t>Suman contract</t>
  </si>
  <si>
    <t>Trauma-informed counseling for Christmas Project</t>
  </si>
  <si>
    <t>Children School Fees</t>
  </si>
  <si>
    <t>Children Daycare</t>
  </si>
  <si>
    <t>Incidental</t>
  </si>
  <si>
    <t>Client transportation</t>
  </si>
  <si>
    <t>Renewal</t>
  </si>
  <si>
    <t>G.R.A.C.E. INITIATIVE</t>
  </si>
  <si>
    <t>Vision: G.R.A.C.E. Initiative children are empowered by proper education and are placed on a successful path into generational freedom and flourishing.</t>
  </si>
  <si>
    <t>Goal: Provide quality education and support to children born into brothels and/or living in Turbhe red-light district and prepare them for economic opportunities in an effort to prevent trafficking.</t>
  </si>
  <si>
    <t>Problem: Children born into brothels or living in Turbhe red-light district are trapped in intergenerational exploitation and are at the highest risk of being trafficked, and there is no effective program that properly educates them with necessary support while empowering their mothers to be caretakers of students.</t>
  </si>
  <si>
    <t>Client in 2024: 120 children in a comprehensive education program, including nursery, private/public elementary school, private/public secondary school, and open school, with daily support by caretakers, afterschool programs, and teachers</t>
  </si>
  <si>
    <t>2023 EXPENDITURE TO DATE                               (JAN. 1 - NOV. 11)</t>
  </si>
  <si>
    <t>2024 PROPOSED BUDGET FOR G.R.A.C.E. INITIATIVE</t>
  </si>
  <si>
    <t>PROGRAM MANAGEMENT (STAFF)</t>
  </si>
  <si>
    <t>S2</t>
  </si>
  <si>
    <t>Wages (1 director, 5 teachers, 1 liaison, 1/2 driver)</t>
  </si>
  <si>
    <t>S3</t>
  </si>
  <si>
    <t>New India Assurance</t>
  </si>
  <si>
    <t>PROGRAM MANAGEMENT (STAFF) SUBTOTAL</t>
  </si>
  <si>
    <t>SCHOOL TUITION &amp; FEES</t>
  </si>
  <si>
    <t>Mahima School Tuition (FCRA direct payment) (9 additional in 2024; total 74 students)</t>
  </si>
  <si>
    <t>SDA Tuition (payment via fiscal partner) (4 additional in 2024; 6 students)</t>
  </si>
  <si>
    <t>Seventh Day Adventist School</t>
  </si>
  <si>
    <t>Local Public Schools (3 new students)</t>
  </si>
  <si>
    <t>A4</t>
  </si>
  <si>
    <t>Uniforms (3,000 rupees per set)</t>
  </si>
  <si>
    <t>Amrut Sagar Enterprises Uniform Invoices, Mahima Uniform Invoice</t>
  </si>
  <si>
    <t>A1</t>
  </si>
  <si>
    <t>Summer Camp (60 students x 6,000 rupees + snack)</t>
  </si>
  <si>
    <t>A2</t>
  </si>
  <si>
    <t>Computer Class (3 students)</t>
  </si>
  <si>
    <t>Amit Computer Education Fee for Kamran Rai Computer Education, Prashant Gupta Computer Teacher</t>
  </si>
  <si>
    <t>Drawing Class (5 students)</t>
  </si>
  <si>
    <t>Nikita Mahesh Gudla</t>
  </si>
  <si>
    <t>Music Class (5 students)</t>
  </si>
  <si>
    <t>Excursion Trip for Nursery and Tuition (60 students)</t>
  </si>
  <si>
    <t>Enrollment Preparation Fees (e.g., legal fees)</t>
  </si>
  <si>
    <t xml:space="preserve">Kaleeyantey Law firm </t>
  </si>
  <si>
    <t>SDA Joining Fees (5 students)</t>
  </si>
  <si>
    <t>Mahima Application Fees (10 students)</t>
  </si>
  <si>
    <t>Musical Instruments (61-key electronic, guitar)</t>
  </si>
  <si>
    <t>SCHOOL TUITION &amp; FEES SUBTOTAL</t>
  </si>
  <si>
    <t xml:space="preserve">BOOKS SUPPLIES &amp; EQUIPMENT </t>
  </si>
  <si>
    <t>B1</t>
  </si>
  <si>
    <t>B2</t>
  </si>
  <si>
    <t>Carpenter, Nino Graphics Invoice No.229</t>
  </si>
  <si>
    <t>B4</t>
  </si>
  <si>
    <t>Compuscroll RAM-LAC-repair</t>
  </si>
  <si>
    <t>Susanna Expenses Mobile Recharge</t>
  </si>
  <si>
    <t>BOOKS SUPPLIES &amp; EQUIPMENT SUBTOTAL</t>
  </si>
  <si>
    <t>COUNSELING</t>
  </si>
  <si>
    <t>C1</t>
  </si>
  <si>
    <t>COUNSELING SUBTOTAL</t>
  </si>
  <si>
    <t>EVENTS</t>
  </si>
  <si>
    <t>Events (e.g., birthday, Christmas, Republic Day)</t>
  </si>
  <si>
    <t>BarbeQNation Teacher's retreat, Sadhana Sahasee advance Grace, Bombay YMCA (GRACE)</t>
  </si>
  <si>
    <t>EVENTS SUBTOTAL</t>
  </si>
  <si>
    <t>D1</t>
  </si>
  <si>
    <t>Mahima School Bus (additional 15 students)</t>
  </si>
  <si>
    <t>Bus fee for 2 students SDA</t>
  </si>
  <si>
    <t>D2</t>
  </si>
  <si>
    <t>FOOD &amp; MEDICAL</t>
  </si>
  <si>
    <t>E1</t>
  </si>
  <si>
    <t>E2</t>
  </si>
  <si>
    <t xml:space="preserve">Medical Tests &amp; Supplements </t>
  </si>
  <si>
    <t>Disha Counseling Center Fee for Psychometric testing of Hasan</t>
  </si>
  <si>
    <t>FOOD &amp; MEDICAL SUBTOTAL</t>
  </si>
  <si>
    <t>G.R.A.C.E. INITIATIVE TOTAL BUDGET</t>
  </si>
  <si>
    <t>Restoration</t>
  </si>
  <si>
    <t>Housing and Food</t>
  </si>
  <si>
    <t>Not via HIM</t>
  </si>
  <si>
    <t>via HIM</t>
  </si>
  <si>
    <t>not via HIM</t>
  </si>
  <si>
    <t>R3G2</t>
  </si>
  <si>
    <t>LEGACY</t>
  </si>
  <si>
    <t>Housing Rent</t>
  </si>
  <si>
    <t>Food and Basic Necessities</t>
  </si>
  <si>
    <t xml:space="preserve">Electric Bill </t>
  </si>
  <si>
    <t>Housing Support</t>
  </si>
  <si>
    <t>Medical Care</t>
  </si>
  <si>
    <t>GRACE</t>
  </si>
  <si>
    <t>SAHASEE EMBERS</t>
  </si>
  <si>
    <t>TOTAL 2024 BUDGET (NOT INCLUDING HOUSING PURCHASE)</t>
  </si>
  <si>
    <t>10% ADMINISTRATION FEE</t>
  </si>
  <si>
    <t>Building purchase</t>
  </si>
  <si>
    <t>Total Expenses</t>
  </si>
  <si>
    <t>REVENUE</t>
  </si>
  <si>
    <t>EXPENSES</t>
  </si>
  <si>
    <t>Donations</t>
  </si>
  <si>
    <t>Individual</t>
  </si>
  <si>
    <t xml:space="preserve">Business </t>
  </si>
  <si>
    <t>Foundation</t>
  </si>
  <si>
    <t>Other Revenue</t>
  </si>
  <si>
    <t>Total Revenues</t>
  </si>
  <si>
    <t>Total Donations</t>
  </si>
  <si>
    <t>NET INCOME</t>
  </si>
  <si>
    <t>RESERVE AT END OF YEAR</t>
  </si>
  <si>
    <t>Kate</t>
  </si>
  <si>
    <t>Karen</t>
  </si>
  <si>
    <t>Bookkeeping</t>
  </si>
  <si>
    <t>Accounting</t>
  </si>
  <si>
    <t>Dev/Ops etc.</t>
  </si>
  <si>
    <t>Comm/web/email</t>
  </si>
  <si>
    <t>YTD</t>
  </si>
  <si>
    <t>Remaining</t>
  </si>
  <si>
    <t xml:space="preserve">Sahasee Embers </t>
  </si>
  <si>
    <t>"EVERYTHING ELSE"</t>
  </si>
  <si>
    <t>Everything else</t>
  </si>
  <si>
    <t>Expenses</t>
  </si>
  <si>
    <t>Revenue</t>
  </si>
  <si>
    <t>Non-donations</t>
  </si>
  <si>
    <t>Budget for rest of year</t>
  </si>
  <si>
    <t>Realistic estimate</t>
  </si>
  <si>
    <t>Original budget</t>
  </si>
  <si>
    <t>Surplus / Deficit</t>
  </si>
  <si>
    <t>Projected (YTD + Realistic estimate)</t>
  </si>
  <si>
    <t>A</t>
  </si>
  <si>
    <t>B</t>
  </si>
  <si>
    <t>C</t>
  </si>
  <si>
    <t>D</t>
  </si>
  <si>
    <t>E</t>
  </si>
  <si>
    <t>Cash</t>
  </si>
  <si>
    <t>NOTE: We will spend less than expenses in Column C, but not sure how much less</t>
  </si>
  <si>
    <t>Next step can be a more informed view on how much we wil spend the rest of year</t>
  </si>
  <si>
    <t>TOTAL REVENUE</t>
  </si>
  <si>
    <t>2024 BUDGET</t>
  </si>
  <si>
    <t>TOTAL EXPENSES</t>
  </si>
  <si>
    <t>SURPLUS / (DEFICIT)</t>
  </si>
  <si>
    <t>Building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</si>
</sst>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_);[Red]\(&quot;$&quot;#,##0.00\)"/>
    <numFmt numFmtId="44" formatCode="_(&quot;$&quot;* #,##0.00_);_(&quot;$&quot;* \(#,##0.00\);_(&quot;$&quot;* &quot;-&quot;??_);_(@_)"/>
    <numFmt numFmtId="43" formatCode="_(* #,##0.00_);_(* \(#,##0.00\);_(* &quot;-&quot;??_);_(@_)"/>
    <numFmt numFmtId="164" formatCode="[$₹-4009]\ #,##0.00"/>
    <numFmt numFmtId="165" formatCode="_ [$₹-4009]\ * #,##0.00_ ;_ [$₹-4009]\ * \-#,##0.00_ ;_ [$₹-4009]\ * &quot;-&quot;??_ ;_ @_ "/>
    <numFmt numFmtId="166" formatCode="_ &quot;₹&quot;\ * #,##0.00_ ;_ &quot;₹&quot;\ * \-#,##0.00_ ;_ &quot;₹&quot;\ * &quot;-&quot;??_ ;_ @_ "/>
    <numFmt numFmtId="167" formatCode="_([$$-409]* #,##0.00_);_([$$-409]* \(#,##0.00\);_([$$-409]* &quot;-&quot;??_);_(@_)"/>
    <numFmt numFmtId="168" formatCode="_(* #,##0_);_(* \(#,##0\);_(* &quot;-&quot;??_);_(@_)"/>
    <numFmt numFmtId="169" formatCode="0.0%"/>
    <numFmt numFmtId="170" formatCode="_ [$₹-439]* #,##0_ ;_ [$₹-439]* \-#,##0_ ;_ [$₹-439]* &quot;-&quot;_ ;_ @_ "/>
    <numFmt numFmtId="171" formatCode="_([$$-409]* #,##0_);_([$$-409]* \(#,##0\);_([$$-409]* &quot;-&quot;??_);_(@_)"/>
    <numFmt numFmtId="172" formatCode="\$0"/>
    <numFmt numFmtId="173" formatCode="\$#,##0"/>
    <numFmt numFmtId="174" formatCode="_ [$₹-4009]\ * #,##0_ ;_ [$₹-4009]\ * \-#,##0_ ;_ [$₹-4009]\ * &quot;-&quot;_ ;_ @_ "/>
    <numFmt numFmtId="175" formatCode="[$₹-439]#,##0"/>
    <numFmt numFmtId="176" formatCode="_([$INR]\ * #,##0_);_([$INR]\ * \(#,##0\);_([$INR]\ * &quot;-&quot;_);_(@_)"/>
    <numFmt numFmtId="177" formatCode="&quot;$&quot;#,##0.00"/>
    <numFmt numFmtId="178" formatCode="_(&quot;$&quot;* #,##0_);_(&quot;$&quot;* \(#,##0\);_(&quot;$&quot;* &quot;-&quot;??_);_(@_)"/>
    <numFmt numFmtId="179" formatCode="&quot;$&quot;#,##0"/>
    <numFmt numFmtId="180" formatCode="[$₹-449]\ #,##0.00;[Red][$₹-449]\ \-#,##0.00"/>
    <numFmt numFmtId="181" formatCode="[$₹-4009]\ #,##0"/>
  </numFmts>
  <fonts count="38"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rgb="FF0070C0"/>
      <name val="Calibri"/>
      <family val="2"/>
      <scheme val="minor"/>
    </font>
    <font>
      <b/>
      <sz val="14"/>
      <color theme="1"/>
      <name val="Calibri"/>
      <family val="2"/>
      <scheme val="minor"/>
    </font>
    <font>
      <sz val="11"/>
      <name val="Calibri"/>
      <family val="2"/>
      <scheme val="minor"/>
    </font>
    <font>
      <sz val="12"/>
      <name val="Calibri"/>
      <family val="2"/>
      <scheme val="minor"/>
    </font>
    <font>
      <b/>
      <sz val="11"/>
      <name val="Calibri"/>
      <family val="2"/>
      <scheme val="minor"/>
    </font>
    <font>
      <b/>
      <sz val="11"/>
      <color theme="1"/>
      <name val="Calibri"/>
      <family val="2"/>
      <scheme val="minor"/>
    </font>
    <font>
      <sz val="11"/>
      <name val="Calibri (Body)"/>
    </font>
    <font>
      <b/>
      <sz val="12"/>
      <name val="Calibri"/>
      <family val="2"/>
      <scheme val="minor"/>
    </font>
    <font>
      <sz val="12"/>
      <color theme="4"/>
      <name val="Calibri"/>
      <family val="2"/>
      <scheme val="minor"/>
    </font>
    <font>
      <i/>
      <sz val="12"/>
      <color theme="1"/>
      <name val="Calibri"/>
      <family val="2"/>
      <scheme val="minor"/>
    </font>
    <font>
      <i/>
      <sz val="12"/>
      <color theme="4"/>
      <name val="Calibri"/>
      <family val="2"/>
      <scheme val="minor"/>
    </font>
    <font>
      <sz val="14"/>
      <color theme="1"/>
      <name val="Calibri"/>
      <family val="2"/>
      <scheme val="minor"/>
    </font>
    <font>
      <sz val="10"/>
      <color rgb="FF000000"/>
      <name val="Times New Roman"/>
      <family val="1"/>
    </font>
    <font>
      <b/>
      <sz val="7.5"/>
      <name val="Arial"/>
      <family val="2"/>
    </font>
    <font>
      <sz val="6"/>
      <name val="Arial"/>
      <family val="2"/>
    </font>
    <font>
      <sz val="6"/>
      <color rgb="FF000000"/>
      <name val="Arial"/>
      <family val="2"/>
    </font>
    <font>
      <vertAlign val="superscript"/>
      <sz val="6"/>
      <name val="Arial"/>
      <family val="2"/>
    </font>
    <font>
      <sz val="6"/>
      <color theme="4"/>
      <name val="Arial"/>
      <family val="2"/>
    </font>
    <font>
      <sz val="10"/>
      <color theme="4"/>
      <name val="Times New Roman"/>
      <family val="1"/>
    </font>
    <font>
      <sz val="11"/>
      <color theme="4"/>
      <name val="Calibri"/>
      <family val="2"/>
      <scheme val="minor"/>
    </font>
    <font>
      <sz val="11"/>
      <color rgb="FF0070C0"/>
      <name val="Calibri"/>
      <family val="2"/>
      <scheme val="minor"/>
    </font>
    <font>
      <b/>
      <sz val="11"/>
      <color rgb="FF0070C0"/>
      <name val="Calibri"/>
      <family val="2"/>
      <scheme val="minor"/>
    </font>
    <font>
      <sz val="11"/>
      <color rgb="FFFF0000"/>
      <name val="Calibri"/>
      <family val="2"/>
      <scheme val="minor"/>
    </font>
    <font>
      <b/>
      <sz val="11"/>
      <color rgb="FFFF0000"/>
      <name val="Calibri"/>
      <family val="2"/>
      <scheme val="minor"/>
    </font>
    <font>
      <b/>
      <i/>
      <sz val="12"/>
      <color theme="1"/>
      <name val="Calibri"/>
      <family val="2"/>
      <scheme val="minor"/>
    </font>
    <font>
      <b/>
      <sz val="12"/>
      <color rgb="FF0070C0"/>
      <name val="Calibri"/>
      <family val="2"/>
      <scheme val="minor"/>
    </font>
    <font>
      <sz val="11"/>
      <color rgb="FF000000"/>
      <name val="Calibri"/>
      <family val="2"/>
      <scheme val="minor"/>
    </font>
    <font>
      <b/>
      <sz val="14"/>
      <name val="Calibri"/>
      <family val="2"/>
      <scheme val="minor"/>
    </font>
    <font>
      <sz val="12"/>
      <color rgb="FFFF0000"/>
      <name val="Calibri"/>
      <family val="2"/>
      <scheme val="minor"/>
    </font>
    <font>
      <b/>
      <sz val="12"/>
      <color rgb="FFFF0000"/>
      <name val="Calibri"/>
      <family val="2"/>
      <scheme val="minor"/>
    </font>
    <font>
      <sz val="14"/>
      <name val="Calibri"/>
      <family val="2"/>
      <scheme val="minor"/>
    </font>
    <font>
      <i/>
      <sz val="12"/>
      <color theme="0"/>
      <name val="Calibri"/>
      <family val="2"/>
      <scheme val="minor"/>
    </font>
    <font>
      <b/>
      <sz val="12"/>
      <color rgb="FF00B0F0"/>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rgb="FF8EAADB"/>
      </patternFill>
    </fill>
    <fill>
      <patternFill patternType="solid">
        <fgColor rgb="FFE7E6E6"/>
        <bgColor rgb="FFE7E6E6"/>
      </patternFill>
    </fill>
    <fill>
      <patternFill patternType="solid">
        <fgColor theme="2"/>
        <bgColor rgb="FF8EAADB"/>
      </patternFill>
    </fill>
    <fill>
      <patternFill patternType="solid">
        <fgColor theme="2"/>
        <bgColor rgb="FFE7E6E6"/>
      </patternFill>
    </fill>
    <fill>
      <patternFill patternType="solid">
        <fgColor rgb="FFFFFF00"/>
        <bgColor indexed="64"/>
      </patternFill>
    </fill>
    <fill>
      <patternFill patternType="solid">
        <fgColor theme="3" tint="0.749992370372631"/>
        <bgColor indexed="64"/>
      </patternFill>
    </fill>
  </fills>
  <borders count="73">
    <border>
      <left/>
      <right/>
      <top/>
      <bottom/>
      <diagonal/>
    </border>
    <border>
      <left style="medium">
        <color auto="1"/>
      </left>
      <right style="thin">
        <color auto="1"/>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8" fillId="0" borderId="0"/>
    <xf numFmtId="44" fontId="4" fillId="0" borderId="0" applyFont="0" applyFill="0" applyBorder="0" applyAlignment="0" applyProtection="0"/>
    <xf numFmtId="166" fontId="4" fillId="0" borderId="0" applyFont="0" applyFill="0" applyBorder="0" applyAlignment="0" applyProtection="0"/>
    <xf numFmtId="0" fontId="17" fillId="0" borderId="0"/>
    <xf numFmtId="44" fontId="8" fillId="0" borderId="0" applyFont="0" applyFill="0" applyBorder="0" applyAlignment="0" applyProtection="0"/>
    <xf numFmtId="44" fontId="1" fillId="0" borderId="0" applyFont="0" applyFill="0" applyBorder="0" applyAlignment="0" applyProtection="0"/>
  </cellStyleXfs>
  <cellXfs count="821">
    <xf numFmtId="0" fontId="0" fillId="0" borderId="0" xfId="0"/>
    <xf numFmtId="0" fontId="4" fillId="0" borderId="1" xfId="0" applyFont="1" applyBorder="1" applyAlignment="1">
      <alignment vertical="center"/>
    </xf>
    <xf numFmtId="0" fontId="0" fillId="0" borderId="0" xfId="0" applyAlignment="1">
      <alignment horizontal="center"/>
    </xf>
    <xf numFmtId="0" fontId="3" fillId="0" borderId="0" xfId="0" applyFont="1"/>
    <xf numFmtId="0" fontId="3" fillId="0" borderId="0" xfId="0" applyFont="1" applyAlignment="1">
      <alignment horizontal="center"/>
    </xf>
    <xf numFmtId="0" fontId="4" fillId="0" borderId="0" xfId="3"/>
    <xf numFmtId="0" fontId="4" fillId="0" borderId="6" xfId="3" applyBorder="1" applyAlignment="1">
      <alignment vertical="center"/>
    </xf>
    <xf numFmtId="0" fontId="4" fillId="0" borderId="8" xfId="3" applyBorder="1" applyAlignment="1">
      <alignment vertical="center"/>
    </xf>
    <xf numFmtId="0" fontId="4" fillId="0" borderId="9" xfId="3" applyBorder="1" applyAlignment="1">
      <alignment vertical="center"/>
    </xf>
    <xf numFmtId="0" fontId="4" fillId="0" borderId="0" xfId="3" applyAlignment="1">
      <alignment vertical="center" wrapText="1"/>
    </xf>
    <xf numFmtId="0" fontId="4" fillId="0" borderId="10" xfId="3" applyBorder="1" applyAlignment="1">
      <alignment vertical="center"/>
    </xf>
    <xf numFmtId="0" fontId="7" fillId="0" borderId="22" xfId="3" applyFont="1" applyBorder="1" applyAlignment="1">
      <alignment horizontal="center" vertical="center" wrapText="1"/>
    </xf>
    <xf numFmtId="0" fontId="9"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1" xfId="3" applyFont="1" applyBorder="1" applyAlignment="1">
      <alignment horizontal="center" vertical="center" wrapText="1"/>
    </xf>
    <xf numFmtId="164" fontId="9" fillId="0" borderId="18" xfId="3" applyNumberFormat="1" applyFont="1" applyBorder="1" applyAlignment="1">
      <alignment vertical="center"/>
    </xf>
    <xf numFmtId="0" fontId="9" fillId="0" borderId="25" xfId="3" applyFont="1" applyBorder="1" applyAlignment="1">
      <alignment horizontal="center" vertical="center"/>
    </xf>
    <xf numFmtId="164" fontId="9" fillId="0" borderId="25" xfId="3" applyNumberFormat="1" applyFont="1" applyBorder="1" applyAlignment="1">
      <alignment vertical="center"/>
    </xf>
    <xf numFmtId="0" fontId="4" fillId="0" borderId="23" xfId="3" applyBorder="1" applyAlignment="1">
      <alignment vertical="center"/>
    </xf>
    <xf numFmtId="0" fontId="7" fillId="2" borderId="26" xfId="3" applyFont="1" applyFill="1" applyBorder="1" applyAlignment="1">
      <alignment vertical="center"/>
    </xf>
    <xf numFmtId="165" fontId="7" fillId="2" borderId="27" xfId="5" applyNumberFormat="1" applyFont="1" applyFill="1" applyBorder="1" applyAlignment="1">
      <alignment horizontal="center" vertical="center"/>
    </xf>
    <xf numFmtId="165" fontId="7" fillId="2" borderId="28" xfId="5" applyNumberFormat="1" applyFont="1" applyFill="1" applyBorder="1" applyAlignment="1">
      <alignment horizontal="center" vertical="center"/>
    </xf>
    <xf numFmtId="0" fontId="4" fillId="0" borderId="22" xfId="3" applyBorder="1" applyAlignment="1">
      <alignment horizontal="center" vertical="center"/>
    </xf>
    <xf numFmtId="0" fontId="7" fillId="0" borderId="1" xfId="3" applyFont="1" applyBorder="1" applyAlignment="1">
      <alignment vertical="center"/>
    </xf>
    <xf numFmtId="0" fontId="7" fillId="0" borderId="23" xfId="3" applyFont="1" applyBorder="1" applyAlignment="1">
      <alignment vertical="center"/>
    </xf>
    <xf numFmtId="165" fontId="7" fillId="0" borderId="24" xfId="3" applyNumberFormat="1" applyFont="1" applyBorder="1" applyAlignment="1">
      <alignment vertical="center"/>
    </xf>
    <xf numFmtId="167" fontId="7" fillId="0" borderId="23" xfId="6" applyNumberFormat="1" applyFont="1" applyBorder="1" applyAlignment="1">
      <alignment vertical="center"/>
    </xf>
    <xf numFmtId="165" fontId="7" fillId="0" borderId="1" xfId="3" applyNumberFormat="1" applyFont="1" applyBorder="1" applyAlignment="1">
      <alignment vertical="center"/>
    </xf>
    <xf numFmtId="0" fontId="7" fillId="0" borderId="29" xfId="3" applyFont="1" applyBorder="1" applyAlignment="1">
      <alignment horizontal="center" vertical="center"/>
    </xf>
    <xf numFmtId="165" fontId="7" fillId="0" borderId="29" xfId="3" applyNumberFormat="1" applyFont="1" applyBorder="1" applyAlignment="1">
      <alignment vertical="center"/>
    </xf>
    <xf numFmtId="0" fontId="7" fillId="0" borderId="1" xfId="3" applyFont="1" applyBorder="1" applyAlignment="1">
      <alignment vertical="center" wrapText="1"/>
    </xf>
    <xf numFmtId="164" fontId="7" fillId="0" borderId="23" xfId="3" applyNumberFormat="1" applyFont="1" applyBorder="1" applyAlignment="1">
      <alignment vertical="center"/>
    </xf>
    <xf numFmtId="164" fontId="7" fillId="0" borderId="1" xfId="3" applyNumberFormat="1" applyFont="1" applyBorder="1" applyAlignment="1">
      <alignment vertical="center"/>
    </xf>
    <xf numFmtId="0" fontId="7" fillId="0" borderId="24" xfId="3" applyFont="1" applyBorder="1" applyAlignment="1">
      <alignment vertical="center"/>
    </xf>
    <xf numFmtId="0" fontId="10" fillId="3" borderId="26" xfId="3" applyFont="1" applyFill="1" applyBorder="1" applyAlignment="1">
      <alignment horizontal="center" vertical="center"/>
    </xf>
    <xf numFmtId="0" fontId="7" fillId="3" borderId="27" xfId="3" applyFont="1" applyFill="1" applyBorder="1" applyAlignment="1">
      <alignment horizontal="center" vertical="center"/>
    </xf>
    <xf numFmtId="165" fontId="7" fillId="3" borderId="27" xfId="3" applyNumberFormat="1" applyFont="1" applyFill="1" applyBorder="1" applyAlignment="1">
      <alignment vertical="center"/>
    </xf>
    <xf numFmtId="167" fontId="7" fillId="3" borderId="30" xfId="6" applyNumberFormat="1" applyFont="1" applyFill="1" applyBorder="1" applyAlignment="1">
      <alignment vertical="center"/>
    </xf>
    <xf numFmtId="44" fontId="4" fillId="3" borderId="28" xfId="5" applyFont="1" applyFill="1" applyBorder="1" applyAlignment="1">
      <alignment vertical="center"/>
    </xf>
    <xf numFmtId="0" fontId="10" fillId="0" borderId="26" xfId="3" applyFont="1" applyBorder="1" applyAlignment="1">
      <alignment horizontal="center" vertical="center"/>
    </xf>
    <xf numFmtId="0" fontId="9" fillId="0" borderId="26" xfId="3" applyFont="1" applyBorder="1" applyAlignment="1">
      <alignment horizontal="center" vertical="center"/>
    </xf>
    <xf numFmtId="0" fontId="4" fillId="0" borderId="28" xfId="3" applyBorder="1" applyAlignment="1">
      <alignment vertical="center"/>
    </xf>
    <xf numFmtId="165" fontId="7" fillId="0" borderId="27" xfId="3" applyNumberFormat="1" applyFont="1" applyBorder="1" applyAlignment="1">
      <alignment vertical="center"/>
    </xf>
    <xf numFmtId="167" fontId="7" fillId="0" borderId="27" xfId="6" applyNumberFormat="1" applyFont="1" applyFill="1" applyBorder="1" applyAlignment="1">
      <alignment vertical="center"/>
    </xf>
    <xf numFmtId="165" fontId="7" fillId="0" borderId="26" xfId="3" applyNumberFormat="1" applyFont="1" applyBorder="1" applyAlignment="1">
      <alignment vertical="center"/>
    </xf>
    <xf numFmtId="167" fontId="7" fillId="0" borderId="28" xfId="6" applyNumberFormat="1" applyFont="1" applyFill="1" applyBorder="1" applyAlignment="1">
      <alignment vertical="center"/>
    </xf>
    <xf numFmtId="0" fontId="7" fillId="0" borderId="27" xfId="3" applyFont="1" applyBorder="1" applyAlignment="1">
      <alignment horizontal="center" vertical="center"/>
    </xf>
    <xf numFmtId="44" fontId="4" fillId="0" borderId="28" xfId="5" applyFont="1" applyFill="1" applyBorder="1" applyAlignment="1">
      <alignment vertical="center"/>
    </xf>
    <xf numFmtId="0" fontId="7" fillId="0" borderId="23" xfId="3" applyFont="1" applyBorder="1" applyAlignment="1">
      <alignment vertical="center" wrapText="1"/>
    </xf>
    <xf numFmtId="167" fontId="7" fillId="0" borderId="23" xfId="6" applyNumberFormat="1" applyFont="1" applyFill="1" applyBorder="1" applyAlignment="1">
      <alignment vertical="center"/>
    </xf>
    <xf numFmtId="0" fontId="4" fillId="0" borderId="27" xfId="3" applyBorder="1" applyAlignment="1">
      <alignment horizontal="center" vertical="center"/>
    </xf>
    <xf numFmtId="167" fontId="7" fillId="3" borderId="27" xfId="6" applyNumberFormat="1" applyFont="1" applyFill="1" applyBorder="1" applyAlignment="1">
      <alignment vertical="center"/>
    </xf>
    <xf numFmtId="164" fontId="7" fillId="3" borderId="27" xfId="3" applyNumberFormat="1" applyFont="1" applyFill="1" applyBorder="1" applyAlignment="1">
      <alignment vertical="center"/>
    </xf>
    <xf numFmtId="0" fontId="10" fillId="0" borderId="31" xfId="3" applyFont="1" applyBorder="1" applyAlignment="1">
      <alignment horizontal="center" vertical="center"/>
    </xf>
    <xf numFmtId="0" fontId="9" fillId="0" borderId="32" xfId="3" applyFont="1" applyBorder="1" applyAlignment="1">
      <alignment vertical="center"/>
    </xf>
    <xf numFmtId="0" fontId="9" fillId="0" borderId="30" xfId="3" applyFont="1" applyBorder="1" applyAlignment="1">
      <alignment vertical="center"/>
    </xf>
    <xf numFmtId="165" fontId="9" fillId="0" borderId="33" xfId="3" applyNumberFormat="1" applyFont="1" applyBorder="1" applyAlignment="1">
      <alignment vertical="center"/>
    </xf>
    <xf numFmtId="164" fontId="9" fillId="0" borderId="30" xfId="3" applyNumberFormat="1" applyFont="1" applyBorder="1" applyAlignment="1">
      <alignment vertical="center"/>
    </xf>
    <xf numFmtId="164" fontId="9" fillId="0" borderId="32" xfId="3" applyNumberFormat="1" applyFont="1" applyBorder="1" applyAlignment="1">
      <alignment vertical="center"/>
    </xf>
    <xf numFmtId="0" fontId="9" fillId="0" borderId="34" xfId="3" applyFont="1" applyBorder="1" applyAlignment="1">
      <alignment horizontal="center" vertical="center"/>
    </xf>
    <xf numFmtId="164" fontId="9" fillId="0" borderId="34" xfId="3" applyNumberFormat="1" applyFont="1" applyBorder="1" applyAlignment="1">
      <alignment vertical="center"/>
    </xf>
    <xf numFmtId="44" fontId="10" fillId="0" borderId="30" xfId="5" applyFont="1" applyFill="1" applyBorder="1" applyAlignment="1">
      <alignment vertical="center"/>
    </xf>
    <xf numFmtId="44" fontId="10" fillId="0" borderId="23" xfId="5" applyFont="1" applyFill="1" applyBorder="1" applyAlignment="1">
      <alignment vertical="center"/>
    </xf>
    <xf numFmtId="44" fontId="0" fillId="0" borderId="23" xfId="5" applyFont="1" applyBorder="1" applyAlignment="1">
      <alignment vertical="center"/>
    </xf>
    <xf numFmtId="164" fontId="9" fillId="3" borderId="27" xfId="3" applyNumberFormat="1" applyFont="1" applyFill="1" applyBorder="1" applyAlignment="1">
      <alignment vertical="center"/>
    </xf>
    <xf numFmtId="0" fontId="9" fillId="3" borderId="27" xfId="3" applyFont="1" applyFill="1" applyBorder="1" applyAlignment="1">
      <alignment horizontal="center" vertical="center"/>
    </xf>
    <xf numFmtId="0" fontId="9" fillId="0" borderId="1" xfId="3" applyFont="1" applyBorder="1" applyAlignment="1">
      <alignment vertical="center"/>
    </xf>
    <xf numFmtId="0" fontId="9" fillId="0" borderId="23" xfId="3" applyFont="1" applyBorder="1" applyAlignment="1">
      <alignment vertical="center"/>
    </xf>
    <xf numFmtId="165" fontId="9" fillId="0" borderId="24" xfId="3" applyNumberFormat="1" applyFont="1" applyBorder="1" applyAlignment="1">
      <alignment vertical="center"/>
    </xf>
    <xf numFmtId="164" fontId="9" fillId="0" borderId="23" xfId="3" applyNumberFormat="1" applyFont="1" applyBorder="1" applyAlignment="1">
      <alignment vertical="center"/>
    </xf>
    <xf numFmtId="164" fontId="9" fillId="0" borderId="1" xfId="3" applyNumberFormat="1" applyFont="1" applyBorder="1" applyAlignment="1">
      <alignment vertical="center"/>
    </xf>
    <xf numFmtId="164" fontId="9" fillId="0" borderId="29" xfId="3" applyNumberFormat="1" applyFont="1" applyBorder="1" applyAlignment="1">
      <alignment vertical="center"/>
    </xf>
    <xf numFmtId="0" fontId="7" fillId="0" borderId="22" xfId="3" applyFont="1" applyBorder="1" applyAlignment="1">
      <alignment vertical="center"/>
    </xf>
    <xf numFmtId="0" fontId="7" fillId="0" borderId="1" xfId="3" applyFont="1" applyBorder="1" applyAlignment="1">
      <alignment horizontal="left" vertical="center"/>
    </xf>
    <xf numFmtId="165" fontId="7" fillId="0" borderId="24" xfId="5" applyNumberFormat="1" applyFont="1" applyFill="1" applyBorder="1" applyAlignment="1">
      <alignment horizontal="center" vertical="center"/>
    </xf>
    <xf numFmtId="167" fontId="7" fillId="0" borderId="30" xfId="6" applyNumberFormat="1" applyFont="1" applyFill="1" applyBorder="1" applyAlignment="1">
      <alignment vertical="center"/>
    </xf>
    <xf numFmtId="165" fontId="7" fillId="0" borderId="1" xfId="5" applyNumberFormat="1" applyFont="1" applyFill="1" applyBorder="1" applyAlignment="1">
      <alignment horizontal="center" vertical="center"/>
    </xf>
    <xf numFmtId="165" fontId="7" fillId="0" borderId="32" xfId="3" applyNumberFormat="1" applyFont="1" applyBorder="1" applyAlignment="1">
      <alignment vertical="center"/>
    </xf>
    <xf numFmtId="0" fontId="7" fillId="0" borderId="34" xfId="3" applyFont="1" applyBorder="1" applyAlignment="1">
      <alignment horizontal="center" vertical="center"/>
    </xf>
    <xf numFmtId="165" fontId="7" fillId="0" borderId="34" xfId="3" applyNumberFormat="1" applyFont="1" applyBorder="1" applyAlignment="1">
      <alignment vertical="center"/>
    </xf>
    <xf numFmtId="44" fontId="4" fillId="0" borderId="30" xfId="5" applyFont="1" applyFill="1" applyBorder="1" applyAlignment="1">
      <alignment vertical="center"/>
    </xf>
    <xf numFmtId="0" fontId="10" fillId="0" borderId="31" xfId="3" applyFont="1" applyBorder="1" applyAlignment="1">
      <alignment vertical="center"/>
    </xf>
    <xf numFmtId="0" fontId="7" fillId="0" borderId="32" xfId="4" applyFont="1" applyBorder="1" applyAlignment="1">
      <alignment horizontal="left" vertical="center" wrapText="1"/>
    </xf>
    <xf numFmtId="165" fontId="7" fillId="0" borderId="33" xfId="3" applyNumberFormat="1" applyFont="1" applyBorder="1" applyAlignment="1">
      <alignment vertical="center"/>
    </xf>
    <xf numFmtId="0" fontId="10" fillId="3" borderId="26" xfId="3" applyFont="1" applyFill="1" applyBorder="1" applyAlignment="1">
      <alignment vertical="center"/>
    </xf>
    <xf numFmtId="0" fontId="4" fillId="3" borderId="27" xfId="3" applyFill="1" applyBorder="1" applyAlignment="1">
      <alignment horizontal="center" vertical="center"/>
    </xf>
    <xf numFmtId="167" fontId="7" fillId="3" borderId="28" xfId="6" applyNumberFormat="1" applyFont="1" applyFill="1" applyBorder="1" applyAlignment="1">
      <alignment vertical="center"/>
    </xf>
    <xf numFmtId="0" fontId="4" fillId="0" borderId="22" xfId="3" applyBorder="1" applyAlignment="1">
      <alignment vertical="center"/>
    </xf>
    <xf numFmtId="164" fontId="7" fillId="0" borderId="29" xfId="3" applyNumberFormat="1" applyFont="1" applyBorder="1" applyAlignment="1">
      <alignment horizontal="center" vertical="center"/>
    </xf>
    <xf numFmtId="0" fontId="4" fillId="0" borderId="29" xfId="3" applyBorder="1" applyAlignment="1">
      <alignment vertical="center"/>
    </xf>
    <xf numFmtId="0" fontId="1" fillId="2" borderId="3" xfId="3" applyFont="1" applyFill="1" applyBorder="1" applyAlignment="1">
      <alignment vertical="center"/>
    </xf>
    <xf numFmtId="165" fontId="8" fillId="2" borderId="4" xfId="3" applyNumberFormat="1" applyFont="1" applyFill="1" applyBorder="1" applyAlignment="1">
      <alignment vertical="center"/>
    </xf>
    <xf numFmtId="167" fontId="8" fillId="2" borderId="4" xfId="6" applyNumberFormat="1" applyFont="1" applyFill="1" applyBorder="1" applyAlignment="1">
      <alignment vertical="center"/>
    </xf>
    <xf numFmtId="164" fontId="8" fillId="2" borderId="4" xfId="3" applyNumberFormat="1" applyFont="1" applyFill="1" applyBorder="1" applyAlignment="1">
      <alignment vertical="center"/>
    </xf>
    <xf numFmtId="164" fontId="8" fillId="2" borderId="4" xfId="3" applyNumberFormat="1" applyFont="1" applyFill="1" applyBorder="1" applyAlignment="1">
      <alignment horizontal="center" vertical="center"/>
    </xf>
    <xf numFmtId="165" fontId="12" fillId="2" borderId="4" xfId="3" applyNumberFormat="1" applyFont="1" applyFill="1" applyBorder="1" applyAlignment="1">
      <alignment vertical="center"/>
    </xf>
    <xf numFmtId="167" fontId="12" fillId="2" borderId="5" xfId="6" applyNumberFormat="1" applyFont="1" applyFill="1" applyBorder="1" applyAlignment="1">
      <alignment vertical="center"/>
    </xf>
    <xf numFmtId="0" fontId="4" fillId="0" borderId="0" xfId="3" applyAlignment="1">
      <alignment vertical="center"/>
    </xf>
    <xf numFmtId="0" fontId="7" fillId="0" borderId="0" xfId="3" applyFont="1" applyAlignment="1">
      <alignment vertical="center"/>
    </xf>
    <xf numFmtId="0" fontId="7" fillId="0" borderId="0" xfId="3" applyFont="1" applyAlignment="1">
      <alignment horizontal="center" vertical="center"/>
    </xf>
    <xf numFmtId="168" fontId="0" fillId="0" borderId="0" xfId="1" applyNumberFormat="1" applyFont="1"/>
    <xf numFmtId="9" fontId="0" fillId="0" borderId="0" xfId="2" applyFont="1"/>
    <xf numFmtId="169" fontId="5" fillId="0" borderId="0" xfId="2" applyNumberFormat="1" applyFont="1" applyAlignment="1">
      <alignment horizontal="center"/>
    </xf>
    <xf numFmtId="168" fontId="5" fillId="0" borderId="0" xfId="1" applyNumberFormat="1" applyFont="1"/>
    <xf numFmtId="168" fontId="1" fillId="0" borderId="0" xfId="1" applyNumberFormat="1" applyFont="1" applyAlignment="1">
      <alignment horizontal="center"/>
    </xf>
    <xf numFmtId="168" fontId="13" fillId="0" borderId="0" xfId="1" applyNumberFormat="1" applyFont="1"/>
    <xf numFmtId="0" fontId="0" fillId="0" borderId="15" xfId="0" applyBorder="1"/>
    <xf numFmtId="168" fontId="0" fillId="0" borderId="15" xfId="1" applyNumberFormat="1" applyFont="1" applyBorder="1"/>
    <xf numFmtId="0" fontId="14" fillId="0" borderId="0" xfId="0" applyFont="1" applyAlignment="1">
      <alignment horizontal="center"/>
    </xf>
    <xf numFmtId="1" fontId="5" fillId="0" borderId="0" xfId="1" applyNumberFormat="1" applyFont="1" applyAlignment="1">
      <alignment horizontal="center"/>
    </xf>
    <xf numFmtId="168" fontId="3" fillId="0" borderId="0" xfId="1" applyNumberFormat="1" applyFont="1" applyAlignment="1">
      <alignment horizontal="center"/>
    </xf>
    <xf numFmtId="0" fontId="0" fillId="0" borderId="15" xfId="0" applyBorder="1" applyAlignment="1">
      <alignment horizontal="center"/>
    </xf>
    <xf numFmtId="170" fontId="13" fillId="0" borderId="0" xfId="1" applyNumberFormat="1" applyFont="1"/>
    <xf numFmtId="170" fontId="0" fillId="0" borderId="15" xfId="1" applyNumberFormat="1" applyFont="1" applyBorder="1"/>
    <xf numFmtId="170" fontId="0" fillId="0" borderId="0" xfId="1" applyNumberFormat="1" applyFont="1"/>
    <xf numFmtId="170" fontId="13" fillId="0" borderId="0" xfId="1" applyNumberFormat="1" applyFont="1" applyAlignment="1">
      <alignment horizontal="center"/>
    </xf>
    <xf numFmtId="167" fontId="0" fillId="0" borderId="15" xfId="0" applyNumberFormat="1" applyBorder="1" applyAlignment="1">
      <alignment horizontal="center"/>
    </xf>
    <xf numFmtId="167" fontId="0" fillId="0" borderId="0" xfId="1" applyNumberFormat="1" applyFont="1"/>
    <xf numFmtId="167" fontId="0" fillId="0" borderId="0" xfId="0" applyNumberFormat="1"/>
    <xf numFmtId="0" fontId="8" fillId="0" borderId="0" xfId="4"/>
    <xf numFmtId="171" fontId="0" fillId="0" borderId="0" xfId="1" applyNumberFormat="1" applyFont="1"/>
    <xf numFmtId="171" fontId="0" fillId="0" borderId="15" xfId="1" applyNumberFormat="1" applyFont="1" applyBorder="1"/>
    <xf numFmtId="9" fontId="14" fillId="0" borderId="0" xfId="2" applyFont="1"/>
    <xf numFmtId="9" fontId="15" fillId="0" borderId="0" xfId="2" applyFont="1" applyAlignment="1">
      <alignment horizontal="right"/>
    </xf>
    <xf numFmtId="9" fontId="14" fillId="0" borderId="15" xfId="2" applyFont="1" applyBorder="1"/>
    <xf numFmtId="0" fontId="0" fillId="0" borderId="0" xfId="0" applyAlignment="1">
      <alignment vertical="center"/>
    </xf>
    <xf numFmtId="0" fontId="4" fillId="0" borderId="0" xfId="0" applyFont="1" applyAlignment="1">
      <alignment vertical="center"/>
    </xf>
    <xf numFmtId="8" fontId="4" fillId="0" borderId="0" xfId="0" applyNumberFormat="1" applyFont="1" applyAlignment="1">
      <alignment vertical="center"/>
    </xf>
    <xf numFmtId="0" fontId="4" fillId="0" borderId="0" xfId="0" applyFont="1"/>
    <xf numFmtId="0" fontId="4" fillId="0" borderId="9" xfId="0" applyFont="1" applyBorder="1" applyAlignment="1">
      <alignment vertical="center"/>
    </xf>
    <xf numFmtId="8" fontId="4" fillId="0" borderId="10" xfId="0" applyNumberFormat="1" applyFont="1" applyBorder="1" applyAlignment="1">
      <alignment vertical="center"/>
    </xf>
    <xf numFmtId="8" fontId="10" fillId="6" borderId="28" xfId="0" applyNumberFormat="1" applyFont="1" applyFill="1" applyBorder="1" applyAlignment="1">
      <alignment horizontal="center" vertical="center"/>
    </xf>
    <xf numFmtId="0" fontId="4" fillId="0" borderId="35" xfId="0" applyFont="1" applyBorder="1" applyAlignment="1">
      <alignment vertical="center"/>
    </xf>
    <xf numFmtId="8" fontId="4" fillId="0" borderId="13" xfId="0" applyNumberFormat="1" applyFont="1" applyBorder="1" applyAlignment="1">
      <alignment vertical="center"/>
    </xf>
    <xf numFmtId="0" fontId="4" fillId="0" borderId="29" xfId="0" applyFont="1" applyBorder="1" applyAlignment="1">
      <alignment vertical="center"/>
    </xf>
    <xf numFmtId="8" fontId="4" fillId="0" borderId="23" xfId="0" applyNumberFormat="1" applyFont="1" applyBorder="1" applyAlignment="1">
      <alignment vertical="center"/>
    </xf>
    <xf numFmtId="0" fontId="4" fillId="0" borderId="29" xfId="0" applyFont="1" applyBorder="1" applyAlignment="1">
      <alignment vertical="center" wrapText="1"/>
    </xf>
    <xf numFmtId="0" fontId="4" fillId="0" borderId="25" xfId="0" applyFont="1" applyBorder="1" applyAlignment="1">
      <alignment vertical="center" wrapText="1"/>
    </xf>
    <xf numFmtId="8" fontId="4" fillId="6" borderId="28" xfId="0" applyNumberFormat="1" applyFont="1" applyFill="1" applyBorder="1" applyAlignment="1">
      <alignment vertical="center"/>
    </xf>
    <xf numFmtId="8" fontId="4" fillId="7" borderId="28" xfId="0" applyNumberFormat="1" applyFont="1" applyFill="1" applyBorder="1" applyAlignment="1">
      <alignment vertical="center"/>
    </xf>
    <xf numFmtId="8" fontId="4" fillId="2" borderId="28" xfId="0" applyNumberFormat="1" applyFont="1" applyFill="1" applyBorder="1" applyAlignment="1">
      <alignment vertical="center"/>
    </xf>
    <xf numFmtId="0" fontId="10" fillId="0" borderId="1" xfId="0" applyFont="1" applyBorder="1" applyAlignment="1">
      <alignment vertical="center"/>
    </xf>
    <xf numFmtId="0" fontId="10" fillId="0" borderId="29" xfId="0" applyFont="1" applyBorder="1" applyAlignment="1">
      <alignment vertical="center"/>
    </xf>
    <xf numFmtId="8" fontId="4" fillId="3" borderId="28" xfId="0" applyNumberFormat="1" applyFont="1" applyFill="1" applyBorder="1" applyAlignment="1">
      <alignment vertical="center"/>
    </xf>
    <xf numFmtId="8" fontId="4" fillId="8" borderId="28" xfId="0" applyNumberFormat="1" applyFont="1" applyFill="1" applyBorder="1" applyAlignment="1">
      <alignment vertical="center"/>
    </xf>
    <xf numFmtId="8" fontId="10" fillId="5" borderId="5" xfId="0" applyNumberFormat="1" applyFont="1" applyFill="1" applyBorder="1" applyAlignment="1">
      <alignment vertical="center"/>
    </xf>
    <xf numFmtId="0" fontId="4" fillId="0" borderId="0" xfId="0" applyFont="1" applyAlignment="1">
      <alignment horizontal="center" vertical="center"/>
    </xf>
    <xf numFmtId="8" fontId="0" fillId="0" borderId="0" xfId="0" applyNumberFormat="1" applyAlignment="1">
      <alignment vertical="center"/>
    </xf>
    <xf numFmtId="0" fontId="17" fillId="0" borderId="0" xfId="7" applyAlignment="1">
      <alignment horizontal="left" vertical="top"/>
    </xf>
    <xf numFmtId="0" fontId="17" fillId="0" borderId="42" xfId="7" applyBorder="1" applyAlignment="1">
      <alignment horizontal="left" wrapText="1"/>
    </xf>
    <xf numFmtId="0" fontId="19" fillId="0" borderId="42" xfId="7" applyFont="1" applyBorder="1" applyAlignment="1">
      <alignment horizontal="left" vertical="top" wrapText="1"/>
    </xf>
    <xf numFmtId="0" fontId="19" fillId="0" borderId="42" xfId="7" applyFont="1" applyBorder="1" applyAlignment="1">
      <alignment horizontal="center" vertical="top" wrapText="1"/>
    </xf>
    <xf numFmtId="0" fontId="19" fillId="0" borderId="42" xfId="7" applyFont="1" applyBorder="1" applyAlignment="1">
      <alignment horizontal="left" vertical="top" wrapText="1" indent="1"/>
    </xf>
    <xf numFmtId="0" fontId="19" fillId="0" borderId="43" xfId="7" applyFont="1" applyBorder="1" applyAlignment="1">
      <alignment horizontal="left" vertical="top" wrapText="1"/>
    </xf>
    <xf numFmtId="172" fontId="20" fillId="0" borderId="43" xfId="7" applyNumberFormat="1" applyFont="1" applyBorder="1" applyAlignment="1">
      <alignment horizontal="right" vertical="top" shrinkToFit="1"/>
    </xf>
    <xf numFmtId="0" fontId="19" fillId="0" borderId="47" xfId="7" applyFont="1" applyBorder="1" applyAlignment="1">
      <alignment horizontal="left" vertical="top" wrapText="1"/>
    </xf>
    <xf numFmtId="0" fontId="17" fillId="0" borderId="47" xfId="7" applyBorder="1" applyAlignment="1">
      <alignment horizontal="left" wrapText="1"/>
    </xf>
    <xf numFmtId="172" fontId="20" fillId="0" borderId="47" xfId="7" applyNumberFormat="1" applyFont="1" applyBorder="1" applyAlignment="1">
      <alignment horizontal="right" vertical="top" shrinkToFit="1"/>
    </xf>
    <xf numFmtId="173" fontId="20" fillId="0" borderId="47" xfId="7" applyNumberFormat="1" applyFont="1" applyBorder="1" applyAlignment="1">
      <alignment horizontal="right" vertical="top" shrinkToFit="1"/>
    </xf>
    <xf numFmtId="0" fontId="19" fillId="0" borderId="50" xfId="7" applyFont="1" applyBorder="1" applyAlignment="1">
      <alignment horizontal="left" vertical="top" wrapText="1"/>
    </xf>
    <xf numFmtId="172" fontId="20" fillId="0" borderId="50" xfId="7" applyNumberFormat="1" applyFont="1" applyBorder="1" applyAlignment="1">
      <alignment horizontal="right" vertical="top" shrinkToFit="1"/>
    </xf>
    <xf numFmtId="173" fontId="20" fillId="0" borderId="42" xfId="7" applyNumberFormat="1" applyFont="1" applyBorder="1" applyAlignment="1">
      <alignment horizontal="right" vertical="top" shrinkToFit="1"/>
    </xf>
    <xf numFmtId="173" fontId="20" fillId="0" borderId="43" xfId="7" applyNumberFormat="1" applyFont="1" applyBorder="1" applyAlignment="1">
      <alignment horizontal="right" vertical="top" shrinkToFit="1"/>
    </xf>
    <xf numFmtId="0" fontId="17" fillId="0" borderId="50" xfId="7" applyBorder="1" applyAlignment="1">
      <alignment horizontal="left" wrapText="1"/>
    </xf>
    <xf numFmtId="173" fontId="20" fillId="0" borderId="50" xfId="7" applyNumberFormat="1" applyFont="1" applyBorder="1" applyAlignment="1">
      <alignment horizontal="right" vertical="top" shrinkToFit="1"/>
    </xf>
    <xf numFmtId="168" fontId="19" fillId="0" borderId="39" xfId="1" applyNumberFormat="1" applyFont="1" applyBorder="1" applyAlignment="1">
      <alignment horizontal="center" vertical="top" wrapText="1"/>
    </xf>
    <xf numFmtId="168" fontId="19" fillId="0" borderId="40" xfId="1" applyNumberFormat="1" applyFont="1" applyBorder="1" applyAlignment="1">
      <alignment horizontal="center" vertical="top" wrapText="1"/>
    </xf>
    <xf numFmtId="168" fontId="19" fillId="0" borderId="41" xfId="1" applyNumberFormat="1" applyFont="1" applyBorder="1" applyAlignment="1">
      <alignment horizontal="center" vertical="top" wrapText="1"/>
    </xf>
    <xf numFmtId="168" fontId="22" fillId="0" borderId="44" xfId="1" applyNumberFormat="1" applyFont="1" applyBorder="1" applyAlignment="1">
      <alignment horizontal="center" vertical="top" shrinkToFit="1"/>
    </xf>
    <xf numFmtId="168" fontId="22" fillId="0" borderId="45" xfId="1" applyNumberFormat="1" applyFont="1" applyBorder="1" applyAlignment="1">
      <alignment horizontal="center" vertical="top" shrinkToFit="1"/>
    </xf>
    <xf numFmtId="168" fontId="22" fillId="0" borderId="46" xfId="1" applyNumberFormat="1" applyFont="1" applyBorder="1" applyAlignment="1">
      <alignment horizontal="center" vertical="top" shrinkToFit="1"/>
    </xf>
    <xf numFmtId="168" fontId="23" fillId="0" borderId="48" xfId="1" applyNumberFormat="1" applyFont="1" applyBorder="1" applyAlignment="1">
      <alignment horizontal="center" wrapText="1"/>
    </xf>
    <xf numFmtId="168" fontId="23" fillId="0" borderId="0" xfId="1" applyNumberFormat="1" applyFont="1" applyAlignment="1">
      <alignment horizontal="center" wrapText="1"/>
    </xf>
    <xf numFmtId="168" fontId="22" fillId="0" borderId="0" xfId="1" applyNumberFormat="1" applyFont="1" applyAlignment="1">
      <alignment horizontal="center" vertical="top" shrinkToFit="1"/>
    </xf>
    <xf numFmtId="168" fontId="23" fillId="0" borderId="49" xfId="1" applyNumberFormat="1" applyFont="1" applyBorder="1" applyAlignment="1">
      <alignment horizontal="center" wrapText="1"/>
    </xf>
    <xf numFmtId="168" fontId="22" fillId="0" borderId="48" xfId="1" applyNumberFormat="1" applyFont="1" applyBorder="1" applyAlignment="1">
      <alignment horizontal="center" vertical="top" shrinkToFit="1"/>
    </xf>
    <xf numFmtId="168" fontId="22" fillId="0" borderId="49" xfId="1" applyNumberFormat="1" applyFont="1" applyBorder="1" applyAlignment="1">
      <alignment horizontal="center" vertical="top" shrinkToFit="1"/>
    </xf>
    <xf numFmtId="168" fontId="22" fillId="0" borderId="51" xfId="1" applyNumberFormat="1" applyFont="1" applyBorder="1" applyAlignment="1">
      <alignment horizontal="center" vertical="top" shrinkToFit="1"/>
    </xf>
    <xf numFmtId="168" fontId="23" fillId="0" borderId="52" xfId="1" applyNumberFormat="1" applyFont="1" applyBorder="1" applyAlignment="1">
      <alignment horizontal="center" wrapText="1"/>
    </xf>
    <xf numFmtId="168" fontId="23" fillId="0" borderId="53" xfId="1" applyNumberFormat="1" applyFont="1" applyBorder="1" applyAlignment="1">
      <alignment horizontal="center" wrapText="1"/>
    </xf>
    <xf numFmtId="168" fontId="23" fillId="0" borderId="44" xfId="1" applyNumberFormat="1" applyFont="1" applyBorder="1" applyAlignment="1">
      <alignment horizontal="center" wrapText="1"/>
    </xf>
    <xf numFmtId="168" fontId="23" fillId="0" borderId="45" xfId="1" applyNumberFormat="1" applyFont="1" applyBorder="1" applyAlignment="1">
      <alignment horizontal="center" wrapText="1"/>
    </xf>
    <xf numFmtId="168" fontId="23" fillId="0" borderId="46" xfId="1" applyNumberFormat="1" applyFont="1" applyBorder="1" applyAlignment="1">
      <alignment horizontal="center" wrapText="1"/>
    </xf>
    <xf numFmtId="168" fontId="23" fillId="0" borderId="51" xfId="1" applyNumberFormat="1" applyFont="1" applyBorder="1" applyAlignment="1">
      <alignment horizontal="center" wrapText="1"/>
    </xf>
    <xf numFmtId="168" fontId="22" fillId="0" borderId="52" xfId="1" applyNumberFormat="1" applyFont="1" applyBorder="1" applyAlignment="1">
      <alignment horizontal="center" vertical="top" shrinkToFit="1"/>
    </xf>
    <xf numFmtId="168" fontId="22" fillId="0" borderId="53" xfId="1" applyNumberFormat="1" applyFont="1" applyBorder="1" applyAlignment="1">
      <alignment horizontal="center" vertical="top" shrinkToFit="1"/>
    </xf>
    <xf numFmtId="168" fontId="17" fillId="0" borderId="0" xfId="1" applyNumberFormat="1" applyFont="1" applyAlignment="1">
      <alignment horizontal="center" vertical="top"/>
    </xf>
    <xf numFmtId="168" fontId="3" fillId="0" borderId="0" xfId="1" applyNumberFormat="1" applyFont="1"/>
    <xf numFmtId="168" fontId="3" fillId="0" borderId="15" xfId="1" applyNumberFormat="1" applyFont="1" applyBorder="1"/>
    <xf numFmtId="168" fontId="4" fillId="0" borderId="0" xfId="1" applyNumberFormat="1" applyFont="1" applyBorder="1"/>
    <xf numFmtId="168" fontId="24" fillId="0" borderId="0" xfId="1" applyNumberFormat="1" applyFont="1" applyBorder="1" applyAlignment="1">
      <alignment vertical="center"/>
    </xf>
    <xf numFmtId="0" fontId="3" fillId="3" borderId="0" xfId="0" applyFont="1" applyFill="1"/>
    <xf numFmtId="0" fontId="3" fillId="3" borderId="0" xfId="1" applyNumberFormat="1" applyFont="1" applyFill="1" applyAlignment="1">
      <alignment horizontal="center"/>
    </xf>
    <xf numFmtId="0" fontId="3" fillId="3" borderId="2" xfId="0" applyFont="1" applyFill="1" applyBorder="1"/>
    <xf numFmtId="168" fontId="3" fillId="3" borderId="2" xfId="1" applyNumberFormat="1" applyFont="1" applyFill="1" applyBorder="1" applyAlignment="1">
      <alignment horizontal="center"/>
    </xf>
    <xf numFmtId="0" fontId="6" fillId="0" borderId="0" xfId="3" applyFont="1" applyAlignment="1">
      <alignment horizontal="left" vertical="top"/>
    </xf>
    <xf numFmtId="0" fontId="4" fillId="0" borderId="0" xfId="3" applyAlignment="1">
      <alignment horizontal="left" vertical="top"/>
    </xf>
    <xf numFmtId="174" fontId="0" fillId="0" borderId="0" xfId="5" applyNumberFormat="1" applyFont="1" applyAlignment="1">
      <alignment horizontal="left" vertical="top"/>
    </xf>
    <xf numFmtId="175" fontId="4" fillId="0" borderId="0" xfId="3" applyNumberFormat="1" applyAlignment="1">
      <alignment horizontal="right" vertical="top"/>
    </xf>
    <xf numFmtId="0" fontId="10" fillId="10" borderId="34" xfId="3" applyFont="1" applyFill="1" applyBorder="1" applyAlignment="1">
      <alignment horizontal="left" vertical="top" wrapText="1"/>
    </xf>
    <xf numFmtId="174" fontId="10" fillId="10" borderId="34" xfId="5" applyNumberFormat="1" applyFont="1" applyFill="1" applyBorder="1" applyAlignment="1">
      <alignment horizontal="left" vertical="top" wrapText="1"/>
    </xf>
    <xf numFmtId="175" fontId="10" fillId="10" borderId="34" xfId="3" applyNumberFormat="1" applyFont="1" applyFill="1" applyBorder="1" applyAlignment="1">
      <alignment horizontal="left" vertical="top" wrapText="1"/>
    </xf>
    <xf numFmtId="176" fontId="10" fillId="10" borderId="34" xfId="3" applyNumberFormat="1" applyFont="1" applyFill="1" applyBorder="1" applyAlignment="1">
      <alignment horizontal="left" vertical="top" wrapText="1"/>
    </xf>
    <xf numFmtId="0" fontId="4" fillId="8" borderId="34" xfId="3" applyFill="1" applyBorder="1" applyAlignment="1">
      <alignment horizontal="center" vertical="center" wrapText="1"/>
    </xf>
    <xf numFmtId="177" fontId="4" fillId="8" borderId="34" xfId="3" applyNumberFormat="1" applyFill="1" applyBorder="1" applyAlignment="1">
      <alignment horizontal="center" vertical="top" wrapText="1"/>
    </xf>
    <xf numFmtId="0" fontId="4" fillId="8" borderId="34" xfId="3" applyFill="1" applyBorder="1" applyAlignment="1">
      <alignment horizontal="left" vertical="top" wrapText="1"/>
    </xf>
    <xf numFmtId="0" fontId="4" fillId="8" borderId="34" xfId="3" applyFill="1" applyBorder="1" applyAlignment="1">
      <alignment horizontal="left" vertical="top"/>
    </xf>
    <xf numFmtId="9" fontId="4" fillId="8" borderId="34" xfId="3" applyNumberFormat="1" applyFill="1" applyBorder="1" applyAlignment="1">
      <alignment horizontal="left" vertical="top"/>
    </xf>
    <xf numFmtId="174" fontId="0" fillId="8" borderId="34" xfId="5" applyNumberFormat="1" applyFont="1" applyFill="1" applyBorder="1" applyAlignment="1">
      <alignment horizontal="left" vertical="top"/>
    </xf>
    <xf numFmtId="175" fontId="4" fillId="8" borderId="34" xfId="3" applyNumberFormat="1" applyFill="1" applyBorder="1" applyAlignment="1">
      <alignment horizontal="right" vertical="top"/>
    </xf>
    <xf numFmtId="0" fontId="4" fillId="5" borderId="34" xfId="3" applyFill="1" applyBorder="1" applyAlignment="1">
      <alignment horizontal="center" vertical="top" wrapText="1"/>
    </xf>
    <xf numFmtId="0" fontId="4" fillId="5" borderId="34" xfId="3" applyFill="1" applyBorder="1" applyAlignment="1">
      <alignment horizontal="left" vertical="top"/>
    </xf>
    <xf numFmtId="0" fontId="4" fillId="2" borderId="34" xfId="3" applyFill="1" applyBorder="1" applyAlignment="1">
      <alignment horizontal="center" vertical="center" wrapText="1"/>
    </xf>
    <xf numFmtId="177" fontId="4" fillId="2" borderId="34" xfId="3" applyNumberFormat="1" applyFill="1" applyBorder="1" applyAlignment="1">
      <alignment horizontal="center" vertical="top" wrapText="1"/>
    </xf>
    <xf numFmtId="0" fontId="25" fillId="2" borderId="34" xfId="3" applyFont="1" applyFill="1" applyBorder="1" applyAlignment="1">
      <alignment horizontal="left" vertical="top" wrapText="1"/>
    </xf>
    <xf numFmtId="17" fontId="25" fillId="2" borderId="34" xfId="3" applyNumberFormat="1" applyFont="1" applyFill="1" applyBorder="1" applyAlignment="1">
      <alignment horizontal="left" vertical="top"/>
    </xf>
    <xf numFmtId="0" fontId="25" fillId="2" borderId="34" xfId="3" applyFont="1" applyFill="1" applyBorder="1" applyAlignment="1">
      <alignment horizontal="left" vertical="top"/>
    </xf>
    <xf numFmtId="9" fontId="25" fillId="2" borderId="34" xfId="3" applyNumberFormat="1" applyFont="1" applyFill="1" applyBorder="1" applyAlignment="1">
      <alignment horizontal="left" vertical="top"/>
    </xf>
    <xf numFmtId="174" fontId="25" fillId="2" borderId="34" xfId="5" applyNumberFormat="1" applyFont="1" applyFill="1" applyBorder="1" applyAlignment="1">
      <alignment horizontal="left" vertical="top" wrapText="1"/>
    </xf>
    <xf numFmtId="175" fontId="25" fillId="2" borderId="34" xfId="3" applyNumberFormat="1" applyFont="1" applyFill="1" applyBorder="1" applyAlignment="1">
      <alignment horizontal="right" vertical="top" wrapText="1"/>
    </xf>
    <xf numFmtId="0" fontId="10" fillId="7" borderId="34" xfId="3" applyFont="1" applyFill="1" applyBorder="1" applyAlignment="1">
      <alignment horizontal="left" vertical="top" wrapText="1"/>
    </xf>
    <xf numFmtId="174" fontId="10" fillId="7" borderId="34" xfId="5" applyNumberFormat="1" applyFont="1" applyFill="1" applyBorder="1" applyAlignment="1">
      <alignment horizontal="left" vertical="top" wrapText="1"/>
    </xf>
    <xf numFmtId="175" fontId="10" fillId="7" borderId="34" xfId="3" applyNumberFormat="1" applyFont="1" applyFill="1" applyBorder="1" applyAlignment="1">
      <alignment horizontal="right" vertical="top" wrapText="1"/>
    </xf>
    <xf numFmtId="0" fontId="4" fillId="7" borderId="34" xfId="3" applyFill="1" applyBorder="1" applyAlignment="1">
      <alignment horizontal="left" vertical="top" wrapText="1"/>
    </xf>
    <xf numFmtId="0" fontId="4" fillId="7" borderId="34" xfId="3" applyFill="1" applyBorder="1" applyAlignment="1">
      <alignment horizontal="left" vertical="top"/>
    </xf>
    <xf numFmtId="17" fontId="4" fillId="7" borderId="34" xfId="3" applyNumberFormat="1" applyFill="1" applyBorder="1" applyAlignment="1">
      <alignment horizontal="left" vertical="top"/>
    </xf>
    <xf numFmtId="174" fontId="0" fillId="7" borderId="34" xfId="5" applyNumberFormat="1" applyFont="1" applyFill="1" applyBorder="1" applyAlignment="1">
      <alignment horizontal="left" vertical="top"/>
    </xf>
    <xf numFmtId="175" fontId="4" fillId="7" borderId="34" xfId="3" applyNumberFormat="1" applyFill="1" applyBorder="1" applyAlignment="1">
      <alignment horizontal="right" vertical="top"/>
    </xf>
    <xf numFmtId="0" fontId="25" fillId="7" borderId="34" xfId="3" applyFont="1" applyFill="1" applyBorder="1" applyAlignment="1">
      <alignment horizontal="left" vertical="top" wrapText="1"/>
    </xf>
    <xf numFmtId="0" fontId="25" fillId="7" borderId="34" xfId="3" applyFont="1" applyFill="1" applyBorder="1" applyAlignment="1">
      <alignment horizontal="left" vertical="top"/>
    </xf>
    <xf numFmtId="17" fontId="25" fillId="7" borderId="34" xfId="3" applyNumberFormat="1" applyFont="1" applyFill="1" applyBorder="1" applyAlignment="1">
      <alignment horizontal="left" vertical="top"/>
    </xf>
    <xf numFmtId="174" fontId="25" fillId="7" borderId="34" xfId="5" applyNumberFormat="1" applyFont="1" applyFill="1" applyBorder="1" applyAlignment="1">
      <alignment horizontal="left" vertical="top"/>
    </xf>
    <xf numFmtId="175" fontId="25" fillId="7" borderId="34" xfId="3" applyNumberFormat="1" applyFont="1" applyFill="1" applyBorder="1" applyAlignment="1">
      <alignment horizontal="right" vertical="top"/>
    </xf>
    <xf numFmtId="0" fontId="10" fillId="0" borderId="0" xfId="3" applyFont="1" applyAlignment="1">
      <alignment horizontal="left" vertical="top"/>
    </xf>
    <xf numFmtId="0" fontId="25" fillId="6" borderId="34" xfId="3" applyFont="1" applyFill="1" applyBorder="1" applyAlignment="1">
      <alignment horizontal="left" vertical="top" wrapText="1"/>
    </xf>
    <xf numFmtId="0" fontId="25" fillId="6" borderId="34" xfId="3" applyFont="1" applyFill="1" applyBorder="1" applyAlignment="1">
      <alignment horizontal="left" vertical="top"/>
    </xf>
    <xf numFmtId="17" fontId="25" fillId="6" borderId="34" xfId="3" applyNumberFormat="1" applyFont="1" applyFill="1" applyBorder="1" applyAlignment="1">
      <alignment horizontal="left" vertical="top"/>
    </xf>
    <xf numFmtId="174" fontId="25" fillId="6" borderId="34" xfId="5" applyNumberFormat="1" applyFont="1" applyFill="1" applyBorder="1" applyAlignment="1">
      <alignment horizontal="left" vertical="top"/>
    </xf>
    <xf numFmtId="175" fontId="25" fillId="6" borderId="34" xfId="3" applyNumberFormat="1" applyFont="1" applyFill="1" applyBorder="1" applyAlignment="1">
      <alignment horizontal="right" vertical="top"/>
    </xf>
    <xf numFmtId="0" fontId="26" fillId="6" borderId="34" xfId="3" applyFont="1" applyFill="1" applyBorder="1" applyAlignment="1">
      <alignment horizontal="left" vertical="top" wrapText="1"/>
    </xf>
    <xf numFmtId="0" fontId="26" fillId="6" borderId="34" xfId="3" applyFont="1" applyFill="1" applyBorder="1" applyAlignment="1">
      <alignment horizontal="left" vertical="top"/>
    </xf>
    <xf numFmtId="17" fontId="26" fillId="6" borderId="34" xfId="3" applyNumberFormat="1" applyFont="1" applyFill="1" applyBorder="1" applyAlignment="1">
      <alignment horizontal="left" vertical="top"/>
    </xf>
    <xf numFmtId="174" fontId="26" fillId="6" borderId="34" xfId="5" applyNumberFormat="1" applyFont="1" applyFill="1" applyBorder="1" applyAlignment="1">
      <alignment horizontal="left" vertical="top"/>
    </xf>
    <xf numFmtId="175" fontId="26" fillId="6" borderId="34" xfId="3" applyNumberFormat="1" applyFont="1" applyFill="1" applyBorder="1" applyAlignment="1">
      <alignment horizontal="right" vertical="top"/>
    </xf>
    <xf numFmtId="0" fontId="4" fillId="6" borderId="34" xfId="3" applyFill="1" applyBorder="1" applyAlignment="1">
      <alignment horizontal="left" vertical="top" wrapText="1"/>
    </xf>
    <xf numFmtId="0" fontId="4" fillId="6" borderId="34" xfId="3" applyFill="1" applyBorder="1" applyAlignment="1">
      <alignment horizontal="left" vertical="top"/>
    </xf>
    <xf numFmtId="17" fontId="4" fillId="6" borderId="34" xfId="3" applyNumberFormat="1" applyFill="1" applyBorder="1" applyAlignment="1">
      <alignment horizontal="left" vertical="top"/>
    </xf>
    <xf numFmtId="0" fontId="27" fillId="6" borderId="34" xfId="3" applyFont="1" applyFill="1" applyBorder="1" applyAlignment="1">
      <alignment horizontal="left" vertical="top"/>
    </xf>
    <xf numFmtId="0" fontId="7" fillId="6" borderId="34" xfId="3" applyFont="1" applyFill="1" applyBorder="1" applyAlignment="1">
      <alignment horizontal="left" vertical="top"/>
    </xf>
    <xf numFmtId="174" fontId="0" fillId="6" borderId="34" xfId="5" applyNumberFormat="1" applyFont="1" applyFill="1" applyBorder="1" applyAlignment="1">
      <alignment horizontal="left" vertical="top"/>
    </xf>
    <xf numFmtId="175" fontId="4" fillId="6" borderId="34" xfId="3" applyNumberFormat="1" applyFill="1" applyBorder="1" applyAlignment="1">
      <alignment horizontal="right" vertical="top"/>
    </xf>
    <xf numFmtId="0" fontId="28" fillId="6" borderId="34" xfId="3" applyFont="1" applyFill="1" applyBorder="1" applyAlignment="1">
      <alignment horizontal="left" vertical="top" wrapText="1"/>
    </xf>
    <xf numFmtId="0" fontId="9" fillId="6" borderId="34" xfId="3" applyFont="1" applyFill="1" applyBorder="1" applyAlignment="1">
      <alignment horizontal="left" vertical="top"/>
    </xf>
    <xf numFmtId="0" fontId="10" fillId="11" borderId="34" xfId="3" applyFont="1" applyFill="1" applyBorder="1" applyAlignment="1">
      <alignment horizontal="center" vertical="center" wrapText="1"/>
    </xf>
    <xf numFmtId="0" fontId="25" fillId="11" borderId="34" xfId="3" applyFont="1" applyFill="1" applyBorder="1" applyAlignment="1">
      <alignment horizontal="left" vertical="top" wrapText="1"/>
    </xf>
    <xf numFmtId="0" fontId="25" fillId="11" borderId="34" xfId="3" applyFont="1" applyFill="1" applyBorder="1" applyAlignment="1">
      <alignment horizontal="left" vertical="top"/>
    </xf>
    <xf numFmtId="17" fontId="25" fillId="11" borderId="34" xfId="3" applyNumberFormat="1" applyFont="1" applyFill="1" applyBorder="1" applyAlignment="1">
      <alignment horizontal="left" vertical="top" wrapText="1"/>
    </xf>
    <xf numFmtId="174" fontId="25" fillId="11" borderId="34" xfId="5" applyNumberFormat="1" applyFont="1" applyFill="1" applyBorder="1" applyAlignment="1">
      <alignment horizontal="left" vertical="top"/>
    </xf>
    <xf numFmtId="175" fontId="25" fillId="11" borderId="34" xfId="3" applyNumberFormat="1" applyFont="1" applyFill="1" applyBorder="1" applyAlignment="1">
      <alignment horizontal="right" vertical="top"/>
    </xf>
    <xf numFmtId="0" fontId="4" fillId="11" borderId="34" xfId="3" applyFill="1" applyBorder="1" applyAlignment="1">
      <alignment horizontal="left" vertical="top" wrapText="1"/>
    </xf>
    <xf numFmtId="0" fontId="4" fillId="11" borderId="34" xfId="3" applyFill="1" applyBorder="1" applyAlignment="1">
      <alignment horizontal="left" vertical="top"/>
    </xf>
    <xf numFmtId="17" fontId="4" fillId="11" borderId="34" xfId="3" applyNumberFormat="1" applyFill="1" applyBorder="1" applyAlignment="1">
      <alignment horizontal="left" vertical="top" wrapText="1"/>
    </xf>
    <xf numFmtId="174" fontId="0" fillId="11" borderId="34" xfId="5" applyNumberFormat="1" applyFont="1" applyFill="1" applyBorder="1" applyAlignment="1">
      <alignment horizontal="left" vertical="top"/>
    </xf>
    <xf numFmtId="175" fontId="4" fillId="11" borderId="34" xfId="3" applyNumberFormat="1" applyFill="1" applyBorder="1" applyAlignment="1">
      <alignment horizontal="right" vertical="top"/>
    </xf>
    <xf numFmtId="0" fontId="4" fillId="12" borderId="34" xfId="3" applyFill="1" applyBorder="1" applyAlignment="1">
      <alignment horizontal="left" vertical="top" wrapText="1"/>
    </xf>
    <xf numFmtId="0" fontId="4" fillId="12" borderId="34" xfId="3" applyFill="1" applyBorder="1" applyAlignment="1">
      <alignment horizontal="left" vertical="top"/>
    </xf>
    <xf numFmtId="17" fontId="4" fillId="12" borderId="34" xfId="3" applyNumberFormat="1" applyFill="1" applyBorder="1" applyAlignment="1">
      <alignment horizontal="left" vertical="top"/>
    </xf>
    <xf numFmtId="0" fontId="27" fillId="12" borderId="34" xfId="3" applyFont="1" applyFill="1" applyBorder="1" applyAlignment="1">
      <alignment horizontal="left" vertical="top"/>
    </xf>
    <xf numFmtId="0" fontId="7" fillId="12" borderId="34" xfId="3" applyFont="1" applyFill="1" applyBorder="1" applyAlignment="1">
      <alignment horizontal="left" vertical="top"/>
    </xf>
    <xf numFmtId="174" fontId="0" fillId="12" borderId="34" xfId="5" applyNumberFormat="1" applyFont="1" applyFill="1" applyBorder="1" applyAlignment="1">
      <alignment horizontal="left" vertical="top"/>
    </xf>
    <xf numFmtId="175" fontId="4" fillId="12" borderId="34" xfId="3" applyNumberFormat="1" applyFill="1" applyBorder="1" applyAlignment="1">
      <alignment horizontal="right" vertical="top"/>
    </xf>
    <xf numFmtId="175" fontId="10" fillId="0" borderId="0" xfId="3" applyNumberFormat="1" applyFont="1" applyAlignment="1">
      <alignment horizontal="left" vertical="top"/>
    </xf>
    <xf numFmtId="17" fontId="7" fillId="12" borderId="34" xfId="3" applyNumberFormat="1" applyFont="1" applyFill="1" applyBorder="1" applyAlignment="1">
      <alignment horizontal="left" vertical="top"/>
    </xf>
    <xf numFmtId="174" fontId="7" fillId="12" borderId="34" xfId="5" applyNumberFormat="1" applyFont="1" applyFill="1" applyBorder="1" applyAlignment="1">
      <alignment horizontal="left" vertical="top"/>
    </xf>
    <xf numFmtId="175" fontId="7" fillId="12" borderId="34" xfId="3" applyNumberFormat="1" applyFont="1" applyFill="1" applyBorder="1" applyAlignment="1">
      <alignment horizontal="right" vertical="top"/>
    </xf>
    <xf numFmtId="0" fontId="26" fillId="0" borderId="0" xfId="3" applyFont="1" applyAlignment="1">
      <alignment horizontal="left" vertical="top"/>
    </xf>
    <xf numFmtId="174" fontId="26" fillId="0" borderId="0" xfId="5" applyNumberFormat="1" applyFont="1" applyAlignment="1">
      <alignment horizontal="left" vertical="top"/>
    </xf>
    <xf numFmtId="0" fontId="4" fillId="12" borderId="55" xfId="3" applyFill="1" applyBorder="1" applyAlignment="1">
      <alignment horizontal="left" vertical="top"/>
    </xf>
    <xf numFmtId="17" fontId="4" fillId="12" borderId="55" xfId="3" applyNumberFormat="1" applyFill="1" applyBorder="1" applyAlignment="1">
      <alignment horizontal="left" vertical="top"/>
    </xf>
    <xf numFmtId="0" fontId="27" fillId="12" borderId="55" xfId="3" applyFont="1" applyFill="1" applyBorder="1" applyAlignment="1">
      <alignment horizontal="left" vertical="top"/>
    </xf>
    <xf numFmtId="0" fontId="7" fillId="12" borderId="55" xfId="3" applyFont="1" applyFill="1" applyBorder="1" applyAlignment="1">
      <alignment horizontal="left" vertical="top"/>
    </xf>
    <xf numFmtId="174" fontId="0" fillId="12" borderId="55" xfId="5" applyNumberFormat="1" applyFont="1" applyFill="1" applyBorder="1" applyAlignment="1">
      <alignment horizontal="left" vertical="top"/>
    </xf>
    <xf numFmtId="175" fontId="4" fillId="12" borderId="55" xfId="3" applyNumberFormat="1" applyFill="1" applyBorder="1" applyAlignment="1">
      <alignment horizontal="right" vertical="top"/>
    </xf>
    <xf numFmtId="0" fontId="4" fillId="9" borderId="25" xfId="3" applyFill="1" applyBorder="1" applyAlignment="1">
      <alignment horizontal="left" vertical="top"/>
    </xf>
    <xf numFmtId="17" fontId="4" fillId="9" borderId="25" xfId="3" applyNumberFormat="1" applyFill="1" applyBorder="1" applyAlignment="1">
      <alignment horizontal="left" vertical="top"/>
    </xf>
    <xf numFmtId="0" fontId="27" fillId="9" borderId="25" xfId="3" applyFont="1" applyFill="1" applyBorder="1" applyAlignment="1">
      <alignment horizontal="left" vertical="top"/>
    </xf>
    <xf numFmtId="0" fontId="9" fillId="9" borderId="25" xfId="3" applyFont="1" applyFill="1" applyBorder="1" applyAlignment="1">
      <alignment horizontal="left" vertical="top"/>
    </xf>
    <xf numFmtId="174" fontId="10" fillId="9" borderId="25" xfId="5" applyNumberFormat="1" applyFont="1" applyFill="1" applyBorder="1" applyAlignment="1">
      <alignment horizontal="left" vertical="top"/>
    </xf>
    <xf numFmtId="175" fontId="10" fillId="9" borderId="25" xfId="5" applyNumberFormat="1" applyFont="1" applyFill="1" applyBorder="1" applyAlignment="1">
      <alignment horizontal="right" vertical="top"/>
    </xf>
    <xf numFmtId="176" fontId="4" fillId="9" borderId="25" xfId="3" applyNumberFormat="1" applyFill="1" applyBorder="1" applyAlignment="1">
      <alignment horizontal="center" vertical="top" wrapText="1"/>
    </xf>
    <xf numFmtId="17" fontId="10" fillId="9" borderId="25" xfId="3" applyNumberFormat="1" applyFont="1" applyFill="1" applyBorder="1" applyAlignment="1">
      <alignment horizontal="left" vertical="top"/>
    </xf>
    <xf numFmtId="0" fontId="10" fillId="9" borderId="25" xfId="3" applyFont="1" applyFill="1" applyBorder="1" applyAlignment="1">
      <alignment horizontal="left" vertical="top"/>
    </xf>
    <xf numFmtId="0" fontId="10" fillId="9" borderId="25" xfId="3" applyFont="1" applyFill="1" applyBorder="1" applyAlignment="1">
      <alignment horizontal="center" vertical="center" wrapText="1"/>
    </xf>
    <xf numFmtId="0" fontId="24" fillId="12" borderId="55" xfId="3" applyFont="1" applyFill="1" applyBorder="1" applyAlignment="1">
      <alignment horizontal="left" vertical="top"/>
    </xf>
    <xf numFmtId="17" fontId="24" fillId="12" borderId="55" xfId="3" applyNumberFormat="1" applyFont="1" applyFill="1" applyBorder="1" applyAlignment="1">
      <alignment horizontal="left" vertical="top"/>
    </xf>
    <xf numFmtId="174" fontId="24" fillId="12" borderId="55" xfId="5" applyNumberFormat="1" applyFont="1" applyFill="1" applyBorder="1" applyAlignment="1">
      <alignment horizontal="left" vertical="top"/>
    </xf>
    <xf numFmtId="175" fontId="24" fillId="12" borderId="55" xfId="3" applyNumberFormat="1" applyFont="1" applyFill="1" applyBorder="1" applyAlignment="1">
      <alignment horizontal="right" vertical="top"/>
    </xf>
    <xf numFmtId="0" fontId="28" fillId="9" borderId="25" xfId="3" applyFont="1" applyFill="1" applyBorder="1" applyAlignment="1">
      <alignment horizontal="left" vertical="top"/>
    </xf>
    <xf numFmtId="176" fontId="10" fillId="9" borderId="25" xfId="3" applyNumberFormat="1" applyFont="1" applyFill="1" applyBorder="1" applyAlignment="1">
      <alignment horizontal="center" vertical="top" wrapText="1"/>
    </xf>
    <xf numFmtId="170" fontId="1" fillId="0" borderId="0" xfId="1" applyNumberFormat="1" applyFont="1"/>
    <xf numFmtId="170" fontId="8" fillId="0" borderId="0" xfId="1" applyNumberFormat="1" applyFont="1"/>
    <xf numFmtId="170" fontId="3" fillId="0" borderId="0" xfId="1" applyNumberFormat="1" applyFont="1"/>
    <xf numFmtId="171" fontId="3" fillId="0" borderId="0" xfId="1" applyNumberFormat="1" applyFont="1"/>
    <xf numFmtId="168" fontId="0" fillId="0" borderId="54" xfId="1" applyNumberFormat="1" applyFont="1" applyBorder="1"/>
    <xf numFmtId="168" fontId="0" fillId="0" borderId="29" xfId="1" applyNumberFormat="1" applyFont="1" applyBorder="1"/>
    <xf numFmtId="168" fontId="1" fillId="0" borderId="29" xfId="1" applyNumberFormat="1" applyFont="1" applyBorder="1"/>
    <xf numFmtId="168" fontId="1" fillId="0" borderId="25" xfId="1" applyNumberFormat="1" applyFont="1" applyBorder="1"/>
    <xf numFmtId="168" fontId="3" fillId="0" borderId="0" xfId="1" applyNumberFormat="1" applyFont="1" applyBorder="1" applyAlignment="1">
      <alignment horizontal="center"/>
    </xf>
    <xf numFmtId="168" fontId="3" fillId="0" borderId="54" xfId="1" applyNumberFormat="1" applyFont="1" applyBorder="1" applyAlignment="1">
      <alignment horizontal="center"/>
    </xf>
    <xf numFmtId="168" fontId="3" fillId="0" borderId="29" xfId="1" applyNumberFormat="1" applyFont="1" applyBorder="1" applyAlignment="1">
      <alignment horizontal="center"/>
    </xf>
    <xf numFmtId="0" fontId="29" fillId="0" borderId="0" xfId="0" applyFont="1" applyAlignment="1">
      <alignment horizontal="center"/>
    </xf>
    <xf numFmtId="168" fontId="3" fillId="0" borderId="35" xfId="1" applyNumberFormat="1" applyFont="1" applyBorder="1" applyAlignment="1">
      <alignment horizontal="center"/>
    </xf>
    <xf numFmtId="168" fontId="3" fillId="0" borderId="24" xfId="1" applyNumberFormat="1" applyFont="1" applyBorder="1" applyAlignment="1">
      <alignment horizontal="center"/>
    </xf>
    <xf numFmtId="168" fontId="0" fillId="0" borderId="37" xfId="1" applyNumberFormat="1" applyFont="1" applyBorder="1"/>
    <xf numFmtId="168" fontId="0" fillId="0" borderId="14" xfId="1" applyNumberFormat="1" applyFont="1" applyBorder="1"/>
    <xf numFmtId="168" fontId="0" fillId="0" borderId="35" xfId="1" applyNumberFormat="1" applyFont="1" applyBorder="1"/>
    <xf numFmtId="168" fontId="0" fillId="0" borderId="24" xfId="1" applyNumberFormat="1" applyFont="1" applyBorder="1"/>
    <xf numFmtId="169" fontId="5" fillId="0" borderId="35" xfId="2" applyNumberFormat="1" applyFont="1" applyBorder="1"/>
    <xf numFmtId="168" fontId="1" fillId="0" borderId="24" xfId="1" applyNumberFormat="1" applyFont="1" applyBorder="1"/>
    <xf numFmtId="169" fontId="5" fillId="0" borderId="38" xfId="2" applyNumberFormat="1" applyFont="1" applyBorder="1"/>
    <xf numFmtId="168" fontId="1" fillId="0" borderId="20" xfId="1" applyNumberFormat="1" applyFont="1" applyBorder="1"/>
    <xf numFmtId="168" fontId="13" fillId="0" borderId="29" xfId="1" applyNumberFormat="1" applyFont="1" applyBorder="1"/>
    <xf numFmtId="0" fontId="3" fillId="0" borderId="27" xfId="0" applyFont="1" applyBorder="1" applyAlignment="1">
      <alignment horizontal="center"/>
    </xf>
    <xf numFmtId="0" fontId="3" fillId="0" borderId="35" xfId="0" applyFont="1" applyBorder="1" applyAlignment="1">
      <alignment horizontal="center"/>
    </xf>
    <xf numFmtId="0" fontId="3" fillId="0" borderId="24" xfId="0" applyFont="1" applyBorder="1" applyAlignment="1">
      <alignment horizontal="center"/>
    </xf>
    <xf numFmtId="0" fontId="0" fillId="0" borderId="37" xfId="0" applyBorder="1"/>
    <xf numFmtId="0" fontId="0" fillId="0" borderId="14" xfId="0" applyBorder="1"/>
    <xf numFmtId="9" fontId="13" fillId="0" borderId="35" xfId="2" applyFont="1" applyBorder="1"/>
    <xf numFmtId="9" fontId="13" fillId="0" borderId="0" xfId="2" applyFont="1" applyBorder="1"/>
    <xf numFmtId="9" fontId="13" fillId="0" borderId="24" xfId="2" applyFont="1" applyBorder="1"/>
    <xf numFmtId="9" fontId="13" fillId="0" borderId="35" xfId="0" applyNumberFormat="1" applyFont="1" applyBorder="1"/>
    <xf numFmtId="9" fontId="13" fillId="0" borderId="0" xfId="0" applyNumberFormat="1" applyFont="1"/>
    <xf numFmtId="9" fontId="13" fillId="0" borderId="24" xfId="0" applyNumberFormat="1" applyFont="1" applyBorder="1"/>
    <xf numFmtId="9" fontId="13" fillId="0" borderId="38" xfId="2" applyFont="1" applyBorder="1"/>
    <xf numFmtId="9" fontId="13" fillId="0" borderId="2" xfId="0" applyNumberFormat="1" applyFont="1" applyBorder="1"/>
    <xf numFmtId="9" fontId="13" fillId="0" borderId="20" xfId="2" applyFont="1" applyBorder="1"/>
    <xf numFmtId="0" fontId="0" fillId="0" borderId="35" xfId="0" applyBorder="1"/>
    <xf numFmtId="0" fontId="0" fillId="0" borderId="24" xfId="0" applyBorder="1"/>
    <xf numFmtId="168" fontId="0" fillId="0" borderId="35" xfId="0" applyNumberFormat="1" applyBorder="1"/>
    <xf numFmtId="168" fontId="0" fillId="0" borderId="0" xfId="0" applyNumberFormat="1"/>
    <xf numFmtId="168" fontId="0" fillId="0" borderId="24" xfId="0" applyNumberFormat="1" applyBorder="1"/>
    <xf numFmtId="168" fontId="3" fillId="0" borderId="36" xfId="1" applyNumberFormat="1" applyFont="1" applyBorder="1"/>
    <xf numFmtId="168" fontId="3" fillId="0" borderId="27" xfId="1" applyNumberFormat="1" applyFont="1" applyBorder="1"/>
    <xf numFmtId="168" fontId="3" fillId="0" borderId="33" xfId="1" applyNumberFormat="1" applyFont="1" applyBorder="1"/>
    <xf numFmtId="168" fontId="3" fillId="0" borderId="34" xfId="1" applyNumberFormat="1" applyFont="1" applyBorder="1"/>
    <xf numFmtId="9" fontId="14" fillId="0" borderId="36" xfId="2" applyFont="1" applyFill="1" applyBorder="1"/>
    <xf numFmtId="9" fontId="14" fillId="0" borderId="27" xfId="2" applyFont="1" applyFill="1" applyBorder="1"/>
    <xf numFmtId="9" fontId="14" fillId="0" borderId="33" xfId="2" applyFont="1" applyFill="1" applyBorder="1"/>
    <xf numFmtId="9" fontId="14" fillId="0" borderId="0" xfId="0" applyNumberFormat="1" applyFont="1"/>
    <xf numFmtId="43" fontId="30" fillId="3" borderId="0" xfId="1" applyFont="1" applyFill="1"/>
    <xf numFmtId="9" fontId="29" fillId="3" borderId="0" xfId="2" applyFont="1" applyFill="1" applyAlignment="1">
      <alignment horizontal="center"/>
    </xf>
    <xf numFmtId="9" fontId="29" fillId="3" borderId="2" xfId="2" applyFont="1" applyFill="1" applyBorder="1" applyAlignment="1">
      <alignment horizontal="center"/>
    </xf>
    <xf numFmtId="167" fontId="3" fillId="0" borderId="27" xfId="0" applyNumberFormat="1" applyFont="1" applyBorder="1" applyAlignment="1">
      <alignment horizontal="center"/>
    </xf>
    <xf numFmtId="0" fontId="7" fillId="0" borderId="10" xfId="3" applyFont="1" applyBorder="1" applyAlignment="1">
      <alignment vertical="center"/>
    </xf>
    <xf numFmtId="0" fontId="10" fillId="3" borderId="31" xfId="3" applyFont="1" applyFill="1" applyBorder="1" applyAlignment="1">
      <alignment horizontal="center" vertical="center"/>
    </xf>
    <xf numFmtId="0" fontId="4" fillId="0" borderId="0" xfId="3" applyAlignment="1">
      <alignment horizontal="center" vertical="center"/>
    </xf>
    <xf numFmtId="0" fontId="10" fillId="0" borderId="22" xfId="3" applyFont="1" applyBorder="1" applyAlignment="1">
      <alignment horizontal="center" vertical="center"/>
    </xf>
    <xf numFmtId="0" fontId="10" fillId="0" borderId="9" xfId="3" applyFont="1" applyBorder="1" applyAlignment="1">
      <alignment horizontal="center" vertical="center"/>
    </xf>
    <xf numFmtId="0" fontId="10" fillId="0" borderId="0" xfId="3" applyFont="1" applyAlignment="1">
      <alignment horizontal="center" vertical="center"/>
    </xf>
    <xf numFmtId="0" fontId="10" fillId="0" borderId="10" xfId="3" applyFont="1" applyBorder="1" applyAlignment="1">
      <alignment horizontal="center" vertical="center"/>
    </xf>
    <xf numFmtId="0" fontId="9" fillId="0" borderId="0" xfId="3" applyFont="1" applyAlignment="1">
      <alignment horizontal="center" vertical="center"/>
    </xf>
    <xf numFmtId="0" fontId="9" fillId="0" borderId="10" xfId="3" applyFont="1" applyBorder="1" applyAlignment="1">
      <alignment horizontal="center" vertical="center"/>
    </xf>
    <xf numFmtId="0" fontId="10" fillId="8" borderId="26" xfId="3" applyFont="1" applyFill="1" applyBorder="1" applyAlignment="1">
      <alignment vertical="center"/>
    </xf>
    <xf numFmtId="0" fontId="10" fillId="8" borderId="27" xfId="3" applyFont="1" applyFill="1" applyBorder="1" applyAlignment="1">
      <alignment horizontal="center" vertical="center"/>
    </xf>
    <xf numFmtId="0" fontId="10" fillId="8" borderId="27" xfId="3" applyFont="1" applyFill="1" applyBorder="1" applyAlignment="1">
      <alignment vertical="center"/>
    </xf>
    <xf numFmtId="0" fontId="9" fillId="8" borderId="27" xfId="3" applyFont="1" applyFill="1" applyBorder="1" applyAlignment="1">
      <alignment vertical="center"/>
    </xf>
    <xf numFmtId="0" fontId="7" fillId="8" borderId="27" xfId="3" applyFont="1" applyFill="1" applyBorder="1" applyAlignment="1">
      <alignment vertical="center"/>
    </xf>
    <xf numFmtId="0" fontId="9" fillId="8" borderId="28" xfId="3" applyFont="1" applyFill="1" applyBorder="1" applyAlignment="1">
      <alignment vertical="center"/>
    </xf>
    <xf numFmtId="0" fontId="10" fillId="0" borderId="0" xfId="3" applyFont="1" applyAlignment="1">
      <alignment vertical="center"/>
    </xf>
    <xf numFmtId="0" fontId="10" fillId="0" borderId="0" xfId="3" applyFont="1"/>
    <xf numFmtId="0" fontId="4" fillId="0" borderId="31" xfId="3" applyBorder="1" applyAlignment="1">
      <alignment horizontal="center" vertical="center"/>
    </xf>
    <xf numFmtId="0" fontId="4" fillId="0" borderId="26" xfId="3" applyBorder="1" applyAlignment="1">
      <alignment horizontal="center" vertical="center"/>
    </xf>
    <xf numFmtId="0" fontId="4" fillId="0" borderId="27" xfId="3" applyBorder="1" applyAlignment="1">
      <alignment horizontal="center" vertical="center" wrapText="1"/>
    </xf>
    <xf numFmtId="0" fontId="4" fillId="0" borderId="28" xfId="3" applyBorder="1" applyAlignment="1">
      <alignment horizontal="center" vertical="center" wrapText="1"/>
    </xf>
    <xf numFmtId="0" fontId="4" fillId="0" borderId="31" xfId="3" applyBorder="1" applyAlignment="1">
      <alignment horizontal="center" vertical="center" wrapText="1"/>
    </xf>
    <xf numFmtId="174" fontId="4" fillId="0" borderId="26" xfId="3" applyNumberFormat="1" applyBorder="1" applyAlignment="1">
      <alignment horizontal="center" vertical="center"/>
    </xf>
    <xf numFmtId="174" fontId="4" fillId="0" borderId="27" xfId="3" applyNumberFormat="1" applyBorder="1" applyAlignment="1">
      <alignment horizontal="center" vertical="center"/>
    </xf>
    <xf numFmtId="178" fontId="4" fillId="0" borderId="28" xfId="5" applyNumberFormat="1" applyFont="1" applyBorder="1" applyAlignment="1">
      <alignment horizontal="center" vertical="center"/>
    </xf>
    <xf numFmtId="174" fontId="7" fillId="0" borderId="27" xfId="3" applyNumberFormat="1" applyFont="1" applyBorder="1" applyAlignment="1">
      <alignment horizontal="center" vertical="center"/>
    </xf>
    <xf numFmtId="179" fontId="7" fillId="0" borderId="28" xfId="5" applyNumberFormat="1" applyFont="1" applyBorder="1" applyAlignment="1">
      <alignment horizontal="center" vertical="center"/>
    </xf>
    <xf numFmtId="179" fontId="27" fillId="0" borderId="0" xfId="5" applyNumberFormat="1" applyFont="1" applyAlignment="1">
      <alignment vertical="center"/>
    </xf>
    <xf numFmtId="0" fontId="4" fillId="0" borderId="9" xfId="3" applyBorder="1" applyAlignment="1">
      <alignment horizontal="center" vertical="center"/>
    </xf>
    <xf numFmtId="0" fontId="4" fillId="0" borderId="10" xfId="3" applyBorder="1" applyAlignment="1">
      <alignment vertical="center" wrapText="1"/>
    </xf>
    <xf numFmtId="174" fontId="4" fillId="0" borderId="9" xfId="3" applyNumberFormat="1" applyBorder="1" applyAlignment="1">
      <alignment vertical="center"/>
    </xf>
    <xf numFmtId="174" fontId="4" fillId="0" borderId="0" xfId="3" applyNumberFormat="1" applyAlignment="1">
      <alignment vertical="center"/>
    </xf>
    <xf numFmtId="178" fontId="0" fillId="0" borderId="10" xfId="5" applyNumberFormat="1" applyFont="1" applyBorder="1" applyAlignment="1">
      <alignment vertical="center"/>
    </xf>
    <xf numFmtId="174" fontId="7" fillId="0" borderId="0" xfId="3" applyNumberFormat="1" applyFont="1" applyAlignment="1">
      <alignment vertical="center"/>
    </xf>
    <xf numFmtId="179" fontId="7" fillId="0" borderId="10" xfId="5" applyNumberFormat="1" applyFont="1" applyBorder="1" applyAlignment="1">
      <alignment vertical="center"/>
    </xf>
    <xf numFmtId="3" fontId="7" fillId="0" borderId="0" xfId="3" applyNumberFormat="1" applyFont="1" applyAlignment="1">
      <alignment vertical="center"/>
    </xf>
    <xf numFmtId="179" fontId="27" fillId="0" borderId="0" xfId="5" applyNumberFormat="1" applyFont="1" applyBorder="1" applyAlignment="1">
      <alignment vertical="center"/>
    </xf>
    <xf numFmtId="0" fontId="4" fillId="3" borderId="26" xfId="3" applyFill="1" applyBorder="1" applyAlignment="1">
      <alignment vertical="center"/>
    </xf>
    <xf numFmtId="0" fontId="4" fillId="3" borderId="27" xfId="3" applyFill="1" applyBorder="1" applyAlignment="1">
      <alignment horizontal="center" vertical="center" wrapText="1"/>
    </xf>
    <xf numFmtId="174" fontId="4" fillId="3" borderId="27" xfId="3" applyNumberFormat="1" applyFill="1" applyBorder="1" applyAlignment="1">
      <alignment vertical="center"/>
    </xf>
    <xf numFmtId="178" fontId="4" fillId="3" borderId="27" xfId="5" applyNumberFormat="1" applyFont="1" applyFill="1" applyBorder="1" applyAlignment="1">
      <alignment vertical="center"/>
    </xf>
    <xf numFmtId="174" fontId="7" fillId="3" borderId="27" xfId="3" applyNumberFormat="1" applyFont="1" applyFill="1" applyBorder="1" applyAlignment="1">
      <alignment vertical="center"/>
    </xf>
    <xf numFmtId="178" fontId="7" fillId="3" borderId="28" xfId="5" applyNumberFormat="1" applyFont="1" applyFill="1" applyBorder="1" applyAlignment="1">
      <alignment vertical="center"/>
    </xf>
    <xf numFmtId="178" fontId="27" fillId="0" borderId="0" xfId="5" applyNumberFormat="1" applyFont="1" applyAlignment="1">
      <alignment vertical="center"/>
    </xf>
    <xf numFmtId="180" fontId="4" fillId="0" borderId="0" xfId="3" applyNumberFormat="1" applyAlignment="1">
      <alignment vertical="center"/>
    </xf>
    <xf numFmtId="8" fontId="4" fillId="0" borderId="0" xfId="3" applyNumberFormat="1" applyAlignment="1">
      <alignment vertical="center"/>
    </xf>
    <xf numFmtId="0" fontId="4" fillId="8" borderId="26" xfId="3" applyFill="1" applyBorder="1" applyAlignment="1">
      <alignment horizontal="center" vertical="center"/>
    </xf>
    <xf numFmtId="0" fontId="4" fillId="8" borderId="27" xfId="3" applyFill="1" applyBorder="1" applyAlignment="1">
      <alignment horizontal="center" vertical="center"/>
    </xf>
    <xf numFmtId="0" fontId="7" fillId="8" borderId="27" xfId="3" applyFont="1" applyFill="1" applyBorder="1" applyAlignment="1">
      <alignment horizontal="center" vertical="center"/>
    </xf>
    <xf numFmtId="0" fontId="31" fillId="8" borderId="27" xfId="3" applyFont="1" applyFill="1" applyBorder="1" applyAlignment="1">
      <alignment horizontal="center" vertical="center"/>
    </xf>
    <xf numFmtId="0" fontId="31" fillId="8" borderId="28" xfId="3" applyFont="1" applyFill="1" applyBorder="1" applyAlignment="1">
      <alignment horizontal="center" vertical="center"/>
    </xf>
    <xf numFmtId="0" fontId="4" fillId="0" borderId="0" xfId="3" applyAlignment="1">
      <alignment horizontal="center"/>
    </xf>
    <xf numFmtId="0" fontId="4" fillId="0" borderId="17" xfId="3" applyBorder="1" applyAlignment="1">
      <alignment vertical="center"/>
    </xf>
    <xf numFmtId="0" fontId="4" fillId="0" borderId="2" xfId="3" applyBorder="1" applyAlignment="1">
      <alignment vertical="center" wrapText="1"/>
    </xf>
    <xf numFmtId="0" fontId="4" fillId="0" borderId="56" xfId="3" applyBorder="1" applyAlignment="1">
      <alignment vertical="center"/>
    </xf>
    <xf numFmtId="174" fontId="4" fillId="0" borderId="2" xfId="3" applyNumberFormat="1" applyBorder="1" applyAlignment="1">
      <alignment vertical="center"/>
    </xf>
    <xf numFmtId="0" fontId="4" fillId="0" borderId="2" xfId="3" applyBorder="1" applyAlignment="1">
      <alignment vertical="center"/>
    </xf>
    <xf numFmtId="178" fontId="0" fillId="0" borderId="21" xfId="5" applyNumberFormat="1" applyFont="1" applyBorder="1" applyAlignment="1">
      <alignment vertical="center"/>
    </xf>
    <xf numFmtId="0" fontId="4" fillId="3" borderId="27" xfId="3" applyFill="1" applyBorder="1" applyAlignment="1">
      <alignment vertical="center"/>
    </xf>
    <xf numFmtId="178" fontId="4" fillId="3" borderId="27" xfId="3" applyNumberFormat="1" applyFill="1" applyBorder="1" applyAlignment="1">
      <alignment vertical="center"/>
    </xf>
    <xf numFmtId="0" fontId="7" fillId="3" borderId="27" xfId="3" applyFont="1" applyFill="1" applyBorder="1" applyAlignment="1">
      <alignment vertical="center"/>
    </xf>
    <xf numFmtId="178" fontId="7" fillId="3" borderId="28" xfId="3" applyNumberFormat="1" applyFont="1" applyFill="1" applyBorder="1" applyAlignment="1">
      <alignment vertical="center"/>
    </xf>
    <xf numFmtId="0" fontId="4" fillId="0" borderId="57" xfId="3" applyBorder="1" applyAlignment="1">
      <alignment vertical="center"/>
    </xf>
    <xf numFmtId="0" fontId="4" fillId="0" borderId="58" xfId="3" applyBorder="1" applyAlignment="1">
      <alignment vertical="center"/>
    </xf>
    <xf numFmtId="180" fontId="4" fillId="0" borderId="59" xfId="3" applyNumberFormat="1" applyBorder="1" applyAlignment="1">
      <alignment vertical="center"/>
    </xf>
    <xf numFmtId="8" fontId="4" fillId="0" borderId="59" xfId="3" applyNumberFormat="1" applyBorder="1" applyAlignment="1">
      <alignment vertical="center"/>
    </xf>
    <xf numFmtId="0" fontId="4" fillId="0" borderId="60" xfId="3" applyBorder="1" applyAlignment="1">
      <alignment vertical="center"/>
    </xf>
    <xf numFmtId="0" fontId="4" fillId="0" borderId="59" xfId="3" applyBorder="1" applyAlignment="1">
      <alignment vertical="center"/>
    </xf>
    <xf numFmtId="0" fontId="4" fillId="3" borderId="3" xfId="3" applyFill="1" applyBorder="1" applyAlignment="1">
      <alignment vertical="center"/>
    </xf>
    <xf numFmtId="0" fontId="3" fillId="3" borderId="4" xfId="3" applyFont="1" applyFill="1" applyBorder="1" applyAlignment="1">
      <alignment horizontal="center" vertical="center"/>
    </xf>
    <xf numFmtId="0" fontId="4" fillId="3" borderId="4" xfId="3" applyFill="1" applyBorder="1" applyAlignment="1">
      <alignment vertical="center"/>
    </xf>
    <xf numFmtId="174" fontId="4" fillId="3" borderId="4" xfId="3" applyNumberFormat="1" applyFill="1" applyBorder="1" applyAlignment="1">
      <alignment vertical="center"/>
    </xf>
    <xf numFmtId="178" fontId="4" fillId="3" borderId="4" xfId="3" applyNumberFormat="1" applyFill="1" applyBorder="1" applyAlignment="1">
      <alignment vertical="center"/>
    </xf>
    <xf numFmtId="0" fontId="7" fillId="3" borderId="4" xfId="3" applyFont="1" applyFill="1" applyBorder="1" applyAlignment="1">
      <alignment vertical="center"/>
    </xf>
    <xf numFmtId="174" fontId="7" fillId="3" borderId="4" xfId="3" applyNumberFormat="1" applyFont="1" applyFill="1" applyBorder="1" applyAlignment="1">
      <alignment vertical="center"/>
    </xf>
    <xf numFmtId="178" fontId="7" fillId="3" borderId="5" xfId="3" applyNumberFormat="1" applyFont="1" applyFill="1" applyBorder="1" applyAlignment="1">
      <alignment vertical="center"/>
    </xf>
    <xf numFmtId="0" fontId="8" fillId="0" borderId="0" xfId="4" applyAlignment="1">
      <alignment vertical="center"/>
    </xf>
    <xf numFmtId="0" fontId="9" fillId="0" borderId="6" xfId="4" applyFont="1" applyBorder="1" applyAlignment="1">
      <alignment horizontal="left" vertical="center" wrapText="1"/>
    </xf>
    <xf numFmtId="0" fontId="4" fillId="0" borderId="8" xfId="3" applyBorder="1" applyAlignment="1">
      <alignment horizontal="left" vertical="center" wrapText="1"/>
    </xf>
    <xf numFmtId="0" fontId="7" fillId="0" borderId="0" xfId="4" applyFont="1" applyAlignment="1">
      <alignment horizontal="left" vertical="center"/>
    </xf>
    <xf numFmtId="0" fontId="7" fillId="0" borderId="0" xfId="4" applyFont="1" applyAlignment="1">
      <alignment horizontal="left"/>
    </xf>
    <xf numFmtId="0" fontId="9" fillId="0" borderId="9" xfId="4" applyFont="1" applyBorder="1" applyAlignment="1">
      <alignment horizontal="left" vertical="center" wrapText="1"/>
    </xf>
    <xf numFmtId="0" fontId="4" fillId="0" borderId="10" xfId="3" applyBorder="1" applyAlignment="1">
      <alignment horizontal="left" vertical="center" wrapText="1"/>
    </xf>
    <xf numFmtId="0" fontId="7" fillId="0" borderId="10" xfId="3" applyFont="1" applyBorder="1" applyAlignment="1">
      <alignment horizontal="left" vertical="center" wrapText="1"/>
    </xf>
    <xf numFmtId="0" fontId="4" fillId="0" borderId="17" xfId="3" applyBorder="1" applyAlignment="1">
      <alignment horizontal="center" vertical="center" wrapText="1"/>
    </xf>
    <xf numFmtId="0" fontId="10" fillId="0" borderId="18" xfId="3" applyFont="1" applyBorder="1" applyAlignment="1">
      <alignment horizontal="center" vertical="center" wrapText="1"/>
    </xf>
    <xf numFmtId="0" fontId="4" fillId="0" borderId="19" xfId="3" applyBorder="1" applyAlignment="1">
      <alignment horizontal="center" vertical="center" wrapText="1"/>
    </xf>
    <xf numFmtId="0" fontId="4" fillId="0" borderId="0" xfId="3" applyAlignment="1">
      <alignment horizontal="center" vertical="center" wrapText="1"/>
    </xf>
    <xf numFmtId="0" fontId="4" fillId="0" borderId="56" xfId="3" applyBorder="1" applyAlignment="1">
      <alignment horizontal="center" vertical="center" wrapText="1"/>
    </xf>
    <xf numFmtId="0" fontId="4" fillId="0" borderId="21" xfId="3" applyBorder="1" applyAlignment="1">
      <alignment horizontal="center" vertical="center" wrapText="1"/>
    </xf>
    <xf numFmtId="0" fontId="4" fillId="0" borderId="10" xfId="3" applyBorder="1" applyAlignment="1">
      <alignment horizontal="center" vertical="center" wrapText="1"/>
    </xf>
    <xf numFmtId="0" fontId="9" fillId="13" borderId="26" xfId="4" applyFont="1" applyFill="1" applyBorder="1" applyAlignment="1">
      <alignment horizontal="center" vertical="center"/>
    </xf>
    <xf numFmtId="165" fontId="7" fillId="7" borderId="27" xfId="4" applyNumberFormat="1" applyFont="1" applyFill="1" applyBorder="1" applyAlignment="1">
      <alignment horizontal="center" vertical="center"/>
    </xf>
    <xf numFmtId="0" fontId="7" fillId="7" borderId="27" xfId="4" applyFont="1" applyFill="1" applyBorder="1" applyAlignment="1">
      <alignment horizontal="center" vertical="center"/>
    </xf>
    <xf numFmtId="0" fontId="7" fillId="7" borderId="28" xfId="4" applyFont="1" applyFill="1" applyBorder="1" applyAlignment="1">
      <alignment horizontal="center" vertical="center"/>
    </xf>
    <xf numFmtId="0" fontId="7" fillId="0" borderId="9" xfId="4" applyFont="1" applyBorder="1" applyAlignment="1">
      <alignment horizontal="center"/>
    </xf>
    <xf numFmtId="0" fontId="7" fillId="0" borderId="62" xfId="4" applyFont="1" applyBorder="1" applyAlignment="1">
      <alignment vertical="center"/>
    </xf>
    <xf numFmtId="0" fontId="9" fillId="0" borderId="23" xfId="4" applyFont="1" applyBorder="1" applyAlignment="1">
      <alignment vertical="center"/>
    </xf>
    <xf numFmtId="165" fontId="7" fillId="0" borderId="0" xfId="4" applyNumberFormat="1" applyFont="1" applyAlignment="1">
      <alignment vertical="center"/>
    </xf>
    <xf numFmtId="44" fontId="7" fillId="0" borderId="10" xfId="8" applyFont="1" applyBorder="1" applyAlignment="1">
      <alignment vertical="center"/>
    </xf>
    <xf numFmtId="165" fontId="7" fillId="0" borderId="9" xfId="4" applyNumberFormat="1" applyFont="1" applyBorder="1" applyAlignment="1">
      <alignment vertical="center"/>
    </xf>
    <xf numFmtId="44" fontId="4" fillId="0" borderId="10" xfId="8" applyFont="1" applyBorder="1" applyAlignment="1">
      <alignment vertical="center"/>
    </xf>
    <xf numFmtId="0" fontId="7" fillId="0" borderId="63" xfId="4" applyFont="1" applyBorder="1" applyAlignment="1">
      <alignment vertical="center"/>
    </xf>
    <xf numFmtId="0" fontId="7" fillId="0" borderId="23" xfId="4" applyFont="1" applyBorder="1" applyAlignment="1">
      <alignment vertical="center"/>
    </xf>
    <xf numFmtId="0" fontId="7" fillId="0" borderId="64" xfId="4" applyFont="1" applyBorder="1" applyAlignment="1">
      <alignment vertical="center"/>
    </xf>
    <xf numFmtId="0" fontId="7" fillId="0" borderId="10" xfId="4" applyFont="1" applyBorder="1" applyAlignment="1">
      <alignment vertical="center"/>
    </xf>
    <xf numFmtId="0" fontId="7" fillId="14" borderId="26" xfId="4" applyFont="1" applyFill="1" applyBorder="1" applyAlignment="1">
      <alignment horizontal="center"/>
    </xf>
    <xf numFmtId="165" fontId="7" fillId="3" borderId="27" xfId="4" applyNumberFormat="1" applyFont="1" applyFill="1" applyBorder="1" applyAlignment="1">
      <alignment vertical="center"/>
    </xf>
    <xf numFmtId="44" fontId="7" fillId="3" borderId="27" xfId="4" applyNumberFormat="1" applyFont="1" applyFill="1" applyBorder="1" applyAlignment="1">
      <alignment vertical="center"/>
    </xf>
    <xf numFmtId="44" fontId="7" fillId="3" borderId="28" xfId="4" applyNumberFormat="1" applyFont="1" applyFill="1" applyBorder="1" applyAlignment="1">
      <alignment vertical="center"/>
    </xf>
    <xf numFmtId="0" fontId="9" fillId="0" borderId="65" xfId="4" applyFont="1" applyBorder="1" applyAlignment="1">
      <alignment vertical="center"/>
    </xf>
    <xf numFmtId="181" fontId="7" fillId="0" borderId="9" xfId="4" applyNumberFormat="1" applyFont="1" applyBorder="1" applyAlignment="1">
      <alignment vertical="center"/>
    </xf>
    <xf numFmtId="0" fontId="7" fillId="13" borderId="26" xfId="4" applyFont="1" applyFill="1" applyBorder="1" applyAlignment="1">
      <alignment horizontal="center"/>
    </xf>
    <xf numFmtId="0" fontId="7" fillId="0" borderId="62" xfId="4" applyFont="1" applyBorder="1" applyAlignment="1">
      <alignment vertical="center" wrapText="1"/>
    </xf>
    <xf numFmtId="0" fontId="7" fillId="0" borderId="56" xfId="4" applyFont="1" applyBorder="1" applyAlignment="1">
      <alignment horizontal="center"/>
    </xf>
    <xf numFmtId="0" fontId="7" fillId="0" borderId="64" xfId="4" applyFont="1" applyBorder="1" applyAlignment="1">
      <alignment vertical="center" wrapText="1"/>
    </xf>
    <xf numFmtId="0" fontId="7" fillId="0" borderId="66" xfId="4" applyFont="1" applyBorder="1" applyAlignment="1">
      <alignment vertical="center"/>
    </xf>
    <xf numFmtId="0" fontId="7" fillId="15" borderId="26" xfId="4" applyFont="1" applyFill="1" applyBorder="1" applyAlignment="1">
      <alignment horizontal="center"/>
    </xf>
    <xf numFmtId="0" fontId="9" fillId="0" borderId="9" xfId="4" applyFont="1" applyBorder="1" applyAlignment="1">
      <alignment horizontal="center"/>
    </xf>
    <xf numFmtId="0" fontId="7" fillId="0" borderId="67" xfId="4" applyFont="1" applyBorder="1" applyAlignment="1">
      <alignment horizontal="center"/>
    </xf>
    <xf numFmtId="0" fontId="7" fillId="0" borderId="23" xfId="4" applyFont="1" applyBorder="1" applyAlignment="1">
      <alignment vertical="center" wrapText="1"/>
    </xf>
    <xf numFmtId="0" fontId="9" fillId="15" borderId="26" xfId="4" applyFont="1" applyFill="1" applyBorder="1" applyAlignment="1">
      <alignment horizontal="center"/>
    </xf>
    <xf numFmtId="44" fontId="4" fillId="0" borderId="10" xfId="8" applyFont="1" applyFill="1" applyBorder="1" applyAlignment="1">
      <alignment vertical="center"/>
    </xf>
    <xf numFmtId="0" fontId="7" fillId="0" borderId="68" xfId="4" applyFont="1" applyBorder="1" applyAlignment="1">
      <alignment horizontal="center"/>
    </xf>
    <xf numFmtId="0" fontId="7" fillId="0" borderId="65" xfId="4" applyFont="1" applyBorder="1" applyAlignment="1">
      <alignment vertical="center"/>
    </xf>
    <xf numFmtId="0" fontId="9" fillId="0" borderId="31" xfId="4" applyFont="1" applyBorder="1" applyAlignment="1">
      <alignment horizontal="center"/>
    </xf>
    <xf numFmtId="0" fontId="9" fillId="0" borderId="32" xfId="4" applyFont="1" applyBorder="1" applyAlignment="1">
      <alignment horizontal="center" vertical="center"/>
    </xf>
    <xf numFmtId="0" fontId="9" fillId="0" borderId="30" xfId="4" applyFont="1" applyBorder="1" applyAlignment="1">
      <alignment vertical="center"/>
    </xf>
    <xf numFmtId="165" fontId="7" fillId="0" borderId="32" xfId="4" applyNumberFormat="1" applyFont="1" applyBorder="1" applyAlignment="1">
      <alignment vertical="center"/>
    </xf>
    <xf numFmtId="44" fontId="7" fillId="0" borderId="30" xfId="4" applyNumberFormat="1" applyFont="1" applyBorder="1" applyAlignment="1">
      <alignment vertical="center"/>
    </xf>
    <xf numFmtId="44" fontId="7" fillId="0" borderId="10" xfId="4" applyNumberFormat="1" applyFont="1" applyBorder="1" applyAlignment="1">
      <alignment vertical="center"/>
    </xf>
    <xf numFmtId="0" fontId="7" fillId="0" borderId="9" xfId="4" applyFont="1" applyBorder="1"/>
    <xf numFmtId="0" fontId="7" fillId="3" borderId="26" xfId="4" applyFont="1" applyFill="1" applyBorder="1"/>
    <xf numFmtId="44" fontId="7" fillId="3" borderId="27" xfId="8" applyFont="1" applyFill="1" applyBorder="1" applyAlignment="1">
      <alignment vertical="center"/>
    </xf>
    <xf numFmtId="44" fontId="7" fillId="3" borderId="28" xfId="8" applyFont="1" applyFill="1" applyBorder="1" applyAlignment="1">
      <alignment vertical="center"/>
    </xf>
    <xf numFmtId="0" fontId="28" fillId="0" borderId="69" xfId="4" applyFont="1" applyBorder="1" applyAlignment="1">
      <alignment vertical="center"/>
    </xf>
    <xf numFmtId="165" fontId="7" fillId="0" borderId="70" xfId="4" applyNumberFormat="1" applyFont="1" applyBorder="1" applyAlignment="1">
      <alignment vertical="center"/>
    </xf>
    <xf numFmtId="0" fontId="7" fillId="0" borderId="71" xfId="4" applyFont="1" applyBorder="1" applyAlignment="1">
      <alignment vertical="center"/>
    </xf>
    <xf numFmtId="165" fontId="7" fillId="0" borderId="72" xfId="4" applyNumberFormat="1" applyFont="1" applyBorder="1" applyAlignment="1">
      <alignment vertical="center"/>
    </xf>
    <xf numFmtId="181" fontId="7" fillId="0" borderId="69" xfId="4" applyNumberFormat="1" applyFont="1" applyBorder="1" applyAlignment="1">
      <alignment vertical="center"/>
    </xf>
    <xf numFmtId="0" fontId="12" fillId="7" borderId="3" xfId="4" applyFont="1" applyFill="1" applyBorder="1"/>
    <xf numFmtId="165" fontId="8" fillId="7" borderId="4" xfId="4" applyNumberFormat="1" applyFill="1" applyBorder="1" applyAlignment="1">
      <alignment vertical="center"/>
    </xf>
    <xf numFmtId="44" fontId="8" fillId="7" borderId="4" xfId="8" applyFont="1" applyFill="1" applyBorder="1" applyAlignment="1">
      <alignment vertical="center"/>
    </xf>
    <xf numFmtId="165" fontId="12" fillId="7" borderId="4" xfId="4" applyNumberFormat="1" applyFont="1" applyFill="1" applyBorder="1" applyAlignment="1">
      <alignment vertical="center"/>
    </xf>
    <xf numFmtId="44" fontId="12" fillId="7" borderId="5" xfId="8" applyFont="1" applyFill="1" applyBorder="1" applyAlignment="1">
      <alignment vertical="center"/>
    </xf>
    <xf numFmtId="0" fontId="12" fillId="0" borderId="0" xfId="4" applyFont="1" applyAlignment="1">
      <alignment vertical="center"/>
    </xf>
    <xf numFmtId="0" fontId="12" fillId="0" borderId="0" xfId="4" applyFont="1"/>
    <xf numFmtId="0" fontId="7" fillId="0" borderId="0" xfId="4" applyFont="1"/>
    <xf numFmtId="0" fontId="7" fillId="0" borderId="0" xfId="4" applyFont="1" applyAlignment="1">
      <alignment vertical="center"/>
    </xf>
    <xf numFmtId="169" fontId="14" fillId="0" borderId="0" xfId="2" applyNumberFormat="1" applyFont="1"/>
    <xf numFmtId="169" fontId="29" fillId="0" borderId="15" xfId="2" applyNumberFormat="1" applyFont="1" applyBorder="1"/>
    <xf numFmtId="0" fontId="33" fillId="0" borderId="0" xfId="0" applyFont="1"/>
    <xf numFmtId="0" fontId="34" fillId="0" borderId="0" xfId="0" applyFont="1"/>
    <xf numFmtId="170" fontId="8" fillId="0" borderId="0" xfId="1" applyNumberFormat="1" applyFont="1" applyAlignment="1">
      <alignment horizontal="center"/>
    </xf>
    <xf numFmtId="0" fontId="7" fillId="0" borderId="0" xfId="3" applyFont="1" applyAlignment="1">
      <alignment vertical="center" wrapText="1"/>
    </xf>
    <xf numFmtId="0" fontId="7" fillId="0" borderId="0" xfId="3" applyFont="1"/>
    <xf numFmtId="0" fontId="7" fillId="0" borderId="8" xfId="3" applyFont="1" applyBorder="1" applyAlignment="1">
      <alignment horizontal="left" vertical="center" wrapText="1"/>
    </xf>
    <xf numFmtId="0" fontId="7" fillId="0" borderId="0" xfId="3" applyFont="1" applyAlignment="1">
      <alignment horizontal="left"/>
    </xf>
    <xf numFmtId="0" fontId="4" fillId="0" borderId="0" xfId="3" applyAlignment="1">
      <alignment horizontal="left"/>
    </xf>
    <xf numFmtId="0" fontId="7" fillId="0" borderId="17" xfId="3" applyFont="1" applyBorder="1" applyAlignment="1">
      <alignment horizontal="center" vertical="center" wrapText="1"/>
    </xf>
    <xf numFmtId="0" fontId="9" fillId="0" borderId="18"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56" xfId="3" applyFont="1" applyBorder="1" applyAlignment="1">
      <alignment horizontal="center" vertical="center" wrapText="1"/>
    </xf>
    <xf numFmtId="0" fontId="7" fillId="0" borderId="21" xfId="3" applyFont="1" applyBorder="1" applyAlignment="1">
      <alignment horizontal="center" vertical="center" wrapText="1"/>
    </xf>
    <xf numFmtId="0" fontId="7" fillId="0" borderId="0" xfId="3" applyFont="1" applyAlignment="1">
      <alignment horizontal="center" vertical="center" wrapText="1"/>
    </xf>
    <xf numFmtId="0" fontId="7" fillId="0" borderId="10" xfId="3" applyFont="1" applyBorder="1" applyAlignment="1">
      <alignment horizontal="center" vertical="center" wrapText="1"/>
    </xf>
    <xf numFmtId="0" fontId="7" fillId="6" borderId="26" xfId="3" applyFont="1" applyFill="1" applyBorder="1" applyAlignment="1">
      <alignment vertical="center"/>
    </xf>
    <xf numFmtId="165" fontId="7" fillId="6" borderId="27" xfId="5" applyNumberFormat="1" applyFont="1" applyFill="1" applyBorder="1" applyAlignment="1">
      <alignment horizontal="center" vertical="center"/>
    </xf>
    <xf numFmtId="165" fontId="7" fillId="6" borderId="28" xfId="5" applyNumberFormat="1" applyFont="1" applyFill="1" applyBorder="1" applyAlignment="1">
      <alignment horizontal="center" vertical="center"/>
    </xf>
    <xf numFmtId="0" fontId="7" fillId="0" borderId="11" xfId="3" applyFont="1" applyBorder="1" applyAlignment="1">
      <alignment horizontal="center" vertical="center"/>
    </xf>
    <xf numFmtId="0" fontId="7" fillId="0" borderId="14" xfId="4" applyFont="1" applyBorder="1" applyAlignment="1">
      <alignment vertical="center"/>
    </xf>
    <xf numFmtId="0" fontId="9" fillId="0" borderId="37" xfId="3" applyFont="1" applyBorder="1" applyAlignment="1">
      <alignment vertical="center"/>
    </xf>
    <xf numFmtId="165" fontId="7" fillId="0" borderId="12" xfId="5" applyNumberFormat="1" applyFont="1" applyFill="1" applyBorder="1" applyAlignment="1">
      <alignment vertical="center"/>
    </xf>
    <xf numFmtId="167" fontId="7" fillId="0" borderId="10" xfId="6" applyNumberFormat="1" applyFont="1" applyBorder="1" applyAlignment="1">
      <alignment vertical="center"/>
    </xf>
    <xf numFmtId="165" fontId="7" fillId="0" borderId="12" xfId="5" applyNumberFormat="1" applyFont="1" applyBorder="1" applyAlignment="1">
      <alignment vertical="center"/>
    </xf>
    <xf numFmtId="167" fontId="7" fillId="0" borderId="0" xfId="6" applyNumberFormat="1" applyFont="1" applyBorder="1" applyAlignment="1">
      <alignment vertical="center"/>
    </xf>
    <xf numFmtId="165" fontId="7" fillId="0" borderId="12" xfId="3" applyNumberFormat="1" applyFont="1" applyBorder="1" applyAlignment="1">
      <alignment vertical="center"/>
    </xf>
    <xf numFmtId="167" fontId="7" fillId="0" borderId="13" xfId="6" applyNumberFormat="1" applyFont="1" applyBorder="1" applyAlignment="1">
      <alignment vertical="center"/>
    </xf>
    <xf numFmtId="0" fontId="7" fillId="0" borderId="22" xfId="3" applyFont="1" applyBorder="1" applyAlignment="1">
      <alignment horizontal="center" vertical="center"/>
    </xf>
    <xf numFmtId="0" fontId="7" fillId="0" borderId="35" xfId="3" applyFont="1" applyBorder="1" applyAlignment="1">
      <alignment vertical="center"/>
    </xf>
    <xf numFmtId="165" fontId="7" fillId="0" borderId="1" xfId="5" applyNumberFormat="1" applyFont="1" applyFill="1" applyBorder="1" applyAlignment="1">
      <alignment vertical="center"/>
    </xf>
    <xf numFmtId="165" fontId="7" fillId="0" borderId="1" xfId="5" applyNumberFormat="1" applyFont="1" applyBorder="1" applyAlignment="1">
      <alignment vertical="center"/>
    </xf>
    <xf numFmtId="0" fontId="7" fillId="0" borderId="17" xfId="3" applyFont="1" applyBorder="1" applyAlignment="1">
      <alignment horizontal="center" vertical="center"/>
    </xf>
    <xf numFmtId="0" fontId="7" fillId="0" borderId="20" xfId="3" applyFont="1" applyBorder="1" applyAlignment="1">
      <alignment vertical="center"/>
    </xf>
    <xf numFmtId="0" fontId="7" fillId="0" borderId="38" xfId="3" applyFont="1" applyBorder="1" applyAlignment="1">
      <alignment vertical="center"/>
    </xf>
    <xf numFmtId="165" fontId="7" fillId="0" borderId="10" xfId="5" applyNumberFormat="1" applyFont="1" applyFill="1" applyBorder="1" applyAlignment="1">
      <alignment vertical="center"/>
    </xf>
    <xf numFmtId="165" fontId="7" fillId="0" borderId="0" xfId="5" applyNumberFormat="1" applyFont="1" applyFill="1" applyBorder="1" applyAlignment="1">
      <alignment vertical="center"/>
    </xf>
    <xf numFmtId="0" fontId="9" fillId="3" borderId="26" xfId="3" applyFont="1" applyFill="1" applyBorder="1" applyAlignment="1">
      <alignment horizontal="center" vertical="center"/>
    </xf>
    <xf numFmtId="165" fontId="7" fillId="3" borderId="27" xfId="5" applyNumberFormat="1" applyFont="1" applyFill="1" applyBorder="1" applyAlignment="1">
      <alignment vertical="center"/>
    </xf>
    <xf numFmtId="0" fontId="9" fillId="0" borderId="31" xfId="3" applyFont="1" applyBorder="1" applyAlignment="1">
      <alignment horizontal="center" vertical="center"/>
    </xf>
    <xf numFmtId="0" fontId="9" fillId="0" borderId="33" xfId="3" applyFont="1" applyBorder="1" applyAlignment="1">
      <alignment vertical="center"/>
    </xf>
    <xf numFmtId="0" fontId="9" fillId="0" borderId="36" xfId="3" applyFont="1" applyBorder="1" applyAlignment="1">
      <alignment vertical="center"/>
    </xf>
    <xf numFmtId="165" fontId="9" fillId="0" borderId="32" xfId="5" applyNumberFormat="1" applyFont="1" applyFill="1" applyBorder="1" applyAlignment="1">
      <alignment vertical="center"/>
    </xf>
    <xf numFmtId="165" fontId="9" fillId="0" borderId="28" xfId="5" applyNumberFormat="1" applyFont="1" applyFill="1" applyBorder="1" applyAlignment="1">
      <alignment vertical="center"/>
    </xf>
    <xf numFmtId="165" fontId="9" fillId="0" borderId="27" xfId="5" applyNumberFormat="1" applyFont="1" applyFill="1" applyBorder="1" applyAlignment="1">
      <alignment vertical="center"/>
    </xf>
    <xf numFmtId="165" fontId="9" fillId="0" borderId="32" xfId="3" applyNumberFormat="1" applyFont="1" applyBorder="1" applyAlignment="1">
      <alignment vertical="center"/>
    </xf>
    <xf numFmtId="167" fontId="9" fillId="0" borderId="30" xfId="6" applyNumberFormat="1" applyFont="1" applyFill="1" applyBorder="1" applyAlignment="1">
      <alignment vertical="center"/>
    </xf>
    <xf numFmtId="0" fontId="9" fillId="6" borderId="26" xfId="3" applyFont="1" applyFill="1" applyBorder="1" applyAlignment="1">
      <alignment horizontal="center" vertical="center"/>
    </xf>
    <xf numFmtId="0" fontId="7" fillId="0" borderId="12" xfId="3" applyFont="1" applyBorder="1" applyAlignment="1">
      <alignment vertical="center" wrapText="1"/>
    </xf>
    <xf numFmtId="0" fontId="7" fillId="0" borderId="18" xfId="3" applyFont="1" applyBorder="1" applyAlignment="1">
      <alignment vertical="center"/>
    </xf>
    <xf numFmtId="0" fontId="7" fillId="0" borderId="12" xfId="3" applyFont="1" applyBorder="1" applyAlignment="1">
      <alignment vertical="center"/>
    </xf>
    <xf numFmtId="0" fontId="7" fillId="0" borderId="13" xfId="3" applyFont="1" applyBorder="1" applyAlignment="1">
      <alignment vertical="center"/>
    </xf>
    <xf numFmtId="0" fontId="7" fillId="0" borderId="19" xfId="3" applyFont="1" applyBorder="1" applyAlignment="1">
      <alignment vertical="center"/>
    </xf>
    <xf numFmtId="165" fontId="9" fillId="0" borderId="1" xfId="5" applyNumberFormat="1" applyFont="1" applyFill="1" applyBorder="1" applyAlignment="1">
      <alignment vertical="center"/>
    </xf>
    <xf numFmtId="165" fontId="9" fillId="0" borderId="10" xfId="5" applyNumberFormat="1" applyFont="1" applyFill="1" applyBorder="1" applyAlignment="1">
      <alignment vertical="center"/>
    </xf>
    <xf numFmtId="165" fontId="9" fillId="0" borderId="0" xfId="5" applyNumberFormat="1" applyFont="1" applyFill="1" applyBorder="1" applyAlignment="1">
      <alignment vertical="center"/>
    </xf>
    <xf numFmtId="165" fontId="9" fillId="0" borderId="18" xfId="3" applyNumberFormat="1" applyFont="1" applyBorder="1" applyAlignment="1">
      <alignment vertical="center"/>
    </xf>
    <xf numFmtId="0" fontId="7" fillId="0" borderId="14" xfId="3" applyFont="1" applyBorder="1" applyAlignment="1">
      <alignment vertical="center"/>
    </xf>
    <xf numFmtId="0" fontId="7" fillId="0" borderId="37" xfId="3" applyFont="1" applyBorder="1" applyAlignment="1">
      <alignment vertical="center"/>
    </xf>
    <xf numFmtId="165" fontId="7" fillId="3" borderId="28" xfId="3" applyNumberFormat="1" applyFont="1" applyFill="1" applyBorder="1" applyAlignment="1">
      <alignment vertical="center"/>
    </xf>
    <xf numFmtId="0" fontId="9" fillId="0" borderId="17" xfId="3" applyFont="1" applyBorder="1" applyAlignment="1">
      <alignment horizontal="center" vertical="center"/>
    </xf>
    <xf numFmtId="0" fontId="9" fillId="0" borderId="20" xfId="3" applyFont="1" applyBorder="1" applyAlignment="1">
      <alignment vertical="center"/>
    </xf>
    <xf numFmtId="0" fontId="9" fillId="0" borderId="38" xfId="3" applyFont="1" applyBorder="1" applyAlignment="1">
      <alignment vertical="center"/>
    </xf>
    <xf numFmtId="165" fontId="7" fillId="0" borderId="0" xfId="5" applyNumberFormat="1" applyFont="1" applyFill="1" applyAlignment="1">
      <alignment vertical="center"/>
    </xf>
    <xf numFmtId="165" fontId="9" fillId="0" borderId="19" xfId="3" applyNumberFormat="1" applyFont="1" applyBorder="1" applyAlignment="1">
      <alignment vertical="center"/>
    </xf>
    <xf numFmtId="0" fontId="7" fillId="0" borderId="31" xfId="3" applyFont="1" applyBorder="1" applyAlignment="1">
      <alignment horizontal="center" vertical="center"/>
    </xf>
    <xf numFmtId="0" fontId="7" fillId="0" borderId="33" xfId="3" applyFont="1" applyBorder="1" applyAlignment="1">
      <alignment vertical="center"/>
    </xf>
    <xf numFmtId="0" fontId="7" fillId="0" borderId="36" xfId="3" applyFont="1" applyBorder="1" applyAlignment="1">
      <alignment vertical="center" wrapText="1"/>
    </xf>
    <xf numFmtId="165" fontId="7" fillId="0" borderId="32" xfId="5" applyNumberFormat="1" applyFont="1" applyFill="1" applyBorder="1" applyAlignment="1">
      <alignment vertical="center"/>
    </xf>
    <xf numFmtId="167" fontId="7" fillId="0" borderId="30" xfId="6" applyNumberFormat="1" applyFont="1" applyBorder="1" applyAlignment="1">
      <alignment vertical="center"/>
    </xf>
    <xf numFmtId="0" fontId="7" fillId="0" borderId="19" xfId="3" applyFont="1" applyBorder="1" applyAlignment="1">
      <alignment vertical="center" wrapText="1"/>
    </xf>
    <xf numFmtId="165" fontId="7" fillId="0" borderId="18" xfId="5" applyNumberFormat="1" applyFont="1" applyFill="1" applyBorder="1" applyAlignment="1">
      <alignment vertical="center"/>
    </xf>
    <xf numFmtId="167" fontId="7" fillId="0" borderId="21" xfId="6" applyNumberFormat="1" applyFont="1" applyBorder="1" applyAlignment="1">
      <alignment vertical="center"/>
    </xf>
    <xf numFmtId="167" fontId="9" fillId="0" borderId="19" xfId="6" applyNumberFormat="1" applyFont="1" applyFill="1" applyBorder="1" applyAlignment="1">
      <alignment vertical="center"/>
    </xf>
    <xf numFmtId="0" fontId="7" fillId="0" borderId="31" xfId="3" applyFont="1" applyBorder="1" applyAlignment="1">
      <alignment vertical="center"/>
    </xf>
    <xf numFmtId="0" fontId="7" fillId="0" borderId="27" xfId="3" applyFont="1" applyBorder="1" applyAlignment="1">
      <alignment vertical="center"/>
    </xf>
    <xf numFmtId="0" fontId="9" fillId="0" borderId="31" xfId="3" applyFont="1" applyBorder="1" applyAlignment="1">
      <alignment vertical="center"/>
    </xf>
    <xf numFmtId="0" fontId="9" fillId="0" borderId="27" xfId="3" applyFont="1" applyBorder="1" applyAlignment="1">
      <alignment vertical="center"/>
    </xf>
    <xf numFmtId="0" fontId="12" fillId="6" borderId="3" xfId="4" applyFont="1" applyFill="1" applyBorder="1"/>
    <xf numFmtId="165" fontId="8" fillId="6" borderId="4" xfId="4" applyNumberFormat="1" applyFill="1" applyBorder="1" applyAlignment="1">
      <alignment vertical="center"/>
    </xf>
    <xf numFmtId="44" fontId="8" fillId="6" borderId="4" xfId="8" applyFont="1" applyFill="1" applyBorder="1" applyAlignment="1">
      <alignment vertical="center"/>
    </xf>
    <xf numFmtId="165" fontId="12" fillId="6" borderId="4" xfId="4" applyNumberFormat="1" applyFont="1" applyFill="1" applyBorder="1" applyAlignment="1">
      <alignment vertical="center"/>
    </xf>
    <xf numFmtId="44" fontId="12" fillId="6" borderId="5" xfId="8" applyFont="1" applyFill="1" applyBorder="1" applyAlignment="1">
      <alignment vertical="center"/>
    </xf>
    <xf numFmtId="0" fontId="7" fillId="0" borderId="9" xfId="3" applyFont="1" applyBorder="1" applyAlignment="1">
      <alignment vertical="center"/>
    </xf>
    <xf numFmtId="167" fontId="7" fillId="0" borderId="0" xfId="6" applyNumberFormat="1" applyFont="1" applyAlignment="1">
      <alignment vertical="center"/>
    </xf>
    <xf numFmtId="165" fontId="7" fillId="17" borderId="29" xfId="3" applyNumberFormat="1" applyFont="1" applyFill="1" applyBorder="1" applyAlignment="1">
      <alignment vertical="center"/>
    </xf>
    <xf numFmtId="164" fontId="7" fillId="17" borderId="29" xfId="3" applyNumberFormat="1" applyFont="1" applyFill="1" applyBorder="1" applyAlignment="1">
      <alignment vertical="center"/>
    </xf>
    <xf numFmtId="170" fontId="0" fillId="0" borderId="0" xfId="1" applyNumberFormat="1" applyFont="1" applyBorder="1"/>
    <xf numFmtId="171" fontId="0" fillId="0" borderId="0" xfId="1" applyNumberFormat="1" applyFont="1" applyBorder="1"/>
    <xf numFmtId="168" fontId="0" fillId="0" borderId="0" xfId="1" applyNumberFormat="1" applyFont="1" applyBorder="1"/>
    <xf numFmtId="178" fontId="0" fillId="0" borderId="0" xfId="9" applyNumberFormat="1" applyFont="1" applyBorder="1"/>
    <xf numFmtId="178" fontId="8" fillId="0" borderId="0" xfId="9" applyNumberFormat="1" applyFont="1"/>
    <xf numFmtId="178" fontId="0" fillId="0" borderId="15" xfId="9" applyNumberFormat="1" applyFont="1" applyBorder="1"/>
    <xf numFmtId="178" fontId="3" fillId="0" borderId="27" xfId="9" applyNumberFormat="1" applyFont="1" applyBorder="1" applyAlignment="1">
      <alignment horizontal="center"/>
    </xf>
    <xf numFmtId="178" fontId="0" fillId="0" borderId="15" xfId="9" applyNumberFormat="1" applyFont="1" applyBorder="1" applyAlignment="1">
      <alignment horizontal="center"/>
    </xf>
    <xf numFmtId="178" fontId="0" fillId="0" borderId="0" xfId="9" applyNumberFormat="1" applyFont="1"/>
    <xf numFmtId="168" fontId="0" fillId="0" borderId="15" xfId="1" applyNumberFormat="1" applyFont="1" applyBorder="1" applyAlignment="1">
      <alignment horizontal="center"/>
    </xf>
    <xf numFmtId="168" fontId="1" fillId="0" borderId="0" xfId="1" applyNumberFormat="1" applyFont="1"/>
    <xf numFmtId="168" fontId="8" fillId="0" borderId="0" xfId="1" applyNumberFormat="1" applyFont="1" applyAlignment="1">
      <alignment horizontal="center"/>
    </xf>
    <xf numFmtId="168" fontId="8" fillId="0" borderId="0" xfId="1" applyNumberFormat="1" applyFont="1"/>
    <xf numFmtId="0" fontId="3" fillId="17" borderId="0" xfId="0" applyFont="1" applyFill="1"/>
    <xf numFmtId="0" fontId="3" fillId="17" borderId="0" xfId="1" applyNumberFormat="1" applyFont="1" applyFill="1" applyAlignment="1">
      <alignment horizontal="center"/>
    </xf>
    <xf numFmtId="168" fontId="3" fillId="17" borderId="27" xfId="1" applyNumberFormat="1" applyFont="1" applyFill="1" applyBorder="1" applyAlignment="1">
      <alignment horizontal="center"/>
    </xf>
    <xf numFmtId="168" fontId="3" fillId="17" borderId="15" xfId="1" applyNumberFormat="1" applyFont="1" applyFill="1" applyBorder="1" applyAlignment="1">
      <alignment horizontal="center"/>
    </xf>
    <xf numFmtId="0" fontId="3" fillId="0" borderId="15" xfId="0" applyFont="1" applyBorder="1"/>
    <xf numFmtId="168" fontId="3" fillId="0" borderId="15" xfId="1" applyNumberFormat="1" applyFont="1" applyFill="1" applyBorder="1" applyAlignment="1">
      <alignment horizontal="center"/>
    </xf>
    <xf numFmtId="43" fontId="5" fillId="3" borderId="0" xfId="1" applyFont="1" applyFill="1"/>
    <xf numFmtId="168" fontId="3" fillId="0" borderId="0" xfId="1" applyNumberFormat="1" applyFont="1" applyFill="1" applyBorder="1" applyAlignment="1">
      <alignment horizontal="center"/>
    </xf>
    <xf numFmtId="9" fontId="29" fillId="0" borderId="0" xfId="2" applyFont="1" applyFill="1" applyBorder="1" applyAlignment="1">
      <alignment horizontal="center"/>
    </xf>
    <xf numFmtId="168" fontId="5" fillId="0" borderId="0" xfId="1" applyNumberFormat="1" applyFont="1" applyFill="1" applyBorder="1" applyAlignment="1">
      <alignment horizontal="center"/>
    </xf>
    <xf numFmtId="169" fontId="14" fillId="0" borderId="0" xfId="2" applyNumberFormat="1" applyFont="1" applyFill="1" applyBorder="1" applyAlignment="1">
      <alignment horizontal="center"/>
    </xf>
    <xf numFmtId="169" fontId="14" fillId="0" borderId="15" xfId="2" applyNumberFormat="1" applyFont="1" applyFill="1" applyBorder="1" applyAlignment="1">
      <alignment horizontal="center"/>
    </xf>
    <xf numFmtId="0" fontId="36" fillId="0" borderId="0" xfId="0" applyFont="1"/>
    <xf numFmtId="0" fontId="0" fillId="0" borderId="0" xfId="1" applyNumberFormat="1" applyFont="1" applyAlignment="1">
      <alignment horizontal="left"/>
    </xf>
    <xf numFmtId="0" fontId="0" fillId="0" borderId="0" xfId="0" applyAlignment="1">
      <alignment horizontal="center" wrapText="1"/>
    </xf>
    <xf numFmtId="168" fontId="3" fillId="0" borderId="0" xfId="0" applyNumberFormat="1" applyFont="1"/>
    <xf numFmtId="0" fontId="0" fillId="0" borderId="2" xfId="0" applyBorder="1" applyAlignment="1">
      <alignment horizontal="center" wrapText="1"/>
    </xf>
    <xf numFmtId="0" fontId="3" fillId="0" borderId="2" xfId="0" applyFont="1" applyBorder="1" applyAlignment="1">
      <alignment horizontal="center" wrapText="1"/>
    </xf>
    <xf numFmtId="0" fontId="3" fillId="0" borderId="0" xfId="0" applyFont="1" applyAlignment="1">
      <alignment horizontal="center" wrapText="1"/>
    </xf>
    <xf numFmtId="0" fontId="3" fillId="0" borderId="34" xfId="0" applyFont="1" applyBorder="1" applyAlignment="1">
      <alignment horizontal="center" wrapText="1"/>
    </xf>
    <xf numFmtId="0" fontId="3" fillId="0" borderId="29" xfId="0" applyFont="1" applyBorder="1" applyAlignment="1">
      <alignment horizontal="center" wrapText="1"/>
    </xf>
    <xf numFmtId="0" fontId="0" fillId="0" borderId="29" xfId="0" applyBorder="1"/>
    <xf numFmtId="168" fontId="3" fillId="0" borderId="54" xfId="1" applyNumberFormat="1" applyFont="1" applyBorder="1"/>
    <xf numFmtId="168" fontId="0" fillId="0" borderId="29" xfId="0" applyNumberFormat="1" applyBorder="1"/>
    <xf numFmtId="168" fontId="3" fillId="0" borderId="25" xfId="0" applyNumberFormat="1" applyFont="1" applyBorder="1"/>
    <xf numFmtId="168" fontId="3" fillId="0" borderId="34" xfId="1" applyNumberFormat="1" applyFont="1" applyBorder="1" applyAlignment="1">
      <alignment horizontal="center" wrapText="1"/>
    </xf>
    <xf numFmtId="168" fontId="3" fillId="0" borderId="29" xfId="1" applyNumberFormat="1" applyFont="1" applyBorder="1" applyAlignment="1">
      <alignment horizontal="center" wrapText="1"/>
    </xf>
    <xf numFmtId="0" fontId="37" fillId="0" borderId="0" xfId="0" applyFont="1" applyAlignment="1">
      <alignment horizontal="center"/>
    </xf>
    <xf numFmtId="0" fontId="14" fillId="0" borderId="0" xfId="0" applyFont="1"/>
    <xf numFmtId="168" fontId="0" fillId="18" borderId="0" xfId="0" applyNumberFormat="1" applyFill="1"/>
    <xf numFmtId="168" fontId="1" fillId="0" borderId="0" xfId="1" applyNumberFormat="1" applyFont="1" applyFill="1" applyBorder="1" applyAlignment="1">
      <alignment horizontal="center"/>
    </xf>
    <xf numFmtId="169" fontId="14" fillId="0" borderId="0" xfId="2" applyNumberFormat="1" applyFont="1" applyFill="1" applyBorder="1" applyAlignment="1">
      <alignment horizontal="right"/>
    </xf>
    <xf numFmtId="169" fontId="29" fillId="0" borderId="15" xfId="2" applyNumberFormat="1" applyFont="1" applyFill="1" applyBorder="1" applyAlignment="1">
      <alignment horizontal="right"/>
    </xf>
    <xf numFmtId="169" fontId="29" fillId="0" borderId="0" xfId="2" applyNumberFormat="1" applyFont="1"/>
    <xf numFmtId="0" fontId="2" fillId="4" borderId="37"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0" fillId="0" borderId="0" xfId="0"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0" fillId="6" borderId="32" xfId="0" applyFont="1" applyFill="1" applyBorder="1" applyAlignment="1">
      <alignment horizontal="center" vertical="center"/>
    </xf>
    <xf numFmtId="0" fontId="0" fillId="0" borderId="36" xfId="0" applyBorder="1" applyAlignment="1">
      <alignment horizontal="center" vertical="center"/>
    </xf>
    <xf numFmtId="0" fontId="4" fillId="6" borderId="32" xfId="0" applyFont="1" applyFill="1" applyBorder="1" applyAlignment="1">
      <alignment horizontal="center" vertical="center"/>
    </xf>
    <xf numFmtId="0" fontId="10" fillId="7" borderId="32" xfId="0" applyFont="1" applyFill="1" applyBorder="1" applyAlignment="1">
      <alignment horizontal="center" vertical="center"/>
    </xf>
    <xf numFmtId="0" fontId="4" fillId="7" borderId="32" xfId="0" applyFont="1" applyFill="1" applyBorder="1" applyAlignment="1">
      <alignment horizontal="center" vertical="center"/>
    </xf>
    <xf numFmtId="0" fontId="10" fillId="2" borderId="32" xfId="0" applyFont="1" applyFill="1" applyBorder="1" applyAlignment="1">
      <alignment horizontal="center" vertical="center"/>
    </xf>
    <xf numFmtId="0" fontId="4" fillId="2" borderId="26" xfId="0" applyFont="1" applyFill="1" applyBorder="1" applyAlignment="1">
      <alignment horizontal="center" vertical="center"/>
    </xf>
    <xf numFmtId="0" fontId="0" fillId="0" borderId="27" xfId="0" applyBorder="1" applyAlignment="1">
      <alignment horizontal="center" vertical="center"/>
    </xf>
    <xf numFmtId="0" fontId="10" fillId="3" borderId="26" xfId="0" applyFont="1" applyFill="1" applyBorder="1" applyAlignment="1">
      <alignment horizontal="center" vertical="center"/>
    </xf>
    <xf numFmtId="0" fontId="3" fillId="0" borderId="27" xfId="0" applyFont="1" applyBorder="1" applyAlignment="1">
      <alignment horizontal="center" vertical="center"/>
    </xf>
    <xf numFmtId="0" fontId="10" fillId="8" borderId="26" xfId="0" applyFont="1" applyFill="1" applyBorder="1" applyAlignment="1">
      <alignment horizontal="center" vertical="center"/>
    </xf>
    <xf numFmtId="0" fontId="10" fillId="5" borderId="3" xfId="0" applyFont="1" applyFill="1" applyBorder="1" applyAlignment="1">
      <alignment horizontal="center" vertical="center"/>
    </xf>
    <xf numFmtId="0" fontId="0" fillId="0" borderId="4" xfId="0" applyBorder="1" applyAlignment="1">
      <alignment horizontal="center" vertical="center"/>
    </xf>
    <xf numFmtId="0" fontId="3" fillId="0" borderId="36" xfId="0" applyFont="1" applyBorder="1" applyAlignment="1">
      <alignment horizontal="center"/>
    </xf>
    <xf numFmtId="0" fontId="3" fillId="0" borderId="27" xfId="0" applyFont="1" applyBorder="1" applyAlignment="1">
      <alignment horizontal="center"/>
    </xf>
    <xf numFmtId="0" fontId="3" fillId="0" borderId="33" xfId="0" applyFont="1" applyBorder="1" applyAlignment="1">
      <alignment horizontal="center"/>
    </xf>
    <xf numFmtId="168" fontId="3" fillId="0" borderId="36" xfId="1" applyNumberFormat="1" applyFont="1" applyBorder="1" applyAlignment="1">
      <alignment horizontal="center"/>
    </xf>
    <xf numFmtId="168" fontId="3" fillId="0" borderId="33" xfId="1" applyNumberFormat="1" applyFont="1" applyBorder="1" applyAlignment="1">
      <alignment horizontal="center"/>
    </xf>
    <xf numFmtId="0" fontId="19" fillId="0" borderId="39" xfId="7" applyFont="1" applyBorder="1" applyAlignment="1">
      <alignment horizontal="left" vertical="top" wrapText="1"/>
    </xf>
    <xf numFmtId="0" fontId="19" fillId="0" borderId="41" xfId="7" applyFont="1" applyBorder="1" applyAlignment="1">
      <alignment horizontal="left" vertical="top" wrapText="1"/>
    </xf>
    <xf numFmtId="168" fontId="17" fillId="0" borderId="39" xfId="1" applyNumberFormat="1" applyFont="1" applyBorder="1" applyAlignment="1">
      <alignment horizontal="center" wrapText="1"/>
    </xf>
    <xf numFmtId="168" fontId="17" fillId="0" borderId="40" xfId="1" applyNumberFormat="1" applyFont="1" applyBorder="1" applyAlignment="1">
      <alignment horizontal="center" wrapText="1"/>
    </xf>
    <xf numFmtId="168" fontId="17" fillId="0" borderId="41" xfId="1" applyNumberFormat="1" applyFont="1" applyBorder="1" applyAlignment="1">
      <alignment horizontal="center" wrapText="1"/>
    </xf>
    <xf numFmtId="0" fontId="17" fillId="0" borderId="43" xfId="7" applyBorder="1" applyAlignment="1">
      <alignment horizontal="left" vertical="top" wrapText="1"/>
    </xf>
    <xf numFmtId="0" fontId="17" fillId="0" borderId="47" xfId="7" applyBorder="1" applyAlignment="1">
      <alignment horizontal="left" vertical="top" wrapText="1"/>
    </xf>
    <xf numFmtId="0" fontId="17" fillId="0" borderId="50" xfId="7" applyBorder="1" applyAlignment="1">
      <alignment horizontal="left" vertical="top" wrapText="1"/>
    </xf>
    <xf numFmtId="168" fontId="22" fillId="0" borderId="45" xfId="1" applyNumberFormat="1" applyFont="1" applyBorder="1" applyAlignment="1">
      <alignment horizontal="center" vertical="top" shrinkToFit="1"/>
    </xf>
    <xf numFmtId="168" fontId="22" fillId="0" borderId="0" xfId="1" applyNumberFormat="1" applyFont="1" applyAlignment="1">
      <alignment horizontal="center" vertical="top" shrinkToFit="1"/>
    </xf>
    <xf numFmtId="168" fontId="22" fillId="0" borderId="52" xfId="1" applyNumberFormat="1" applyFont="1" applyBorder="1" applyAlignment="1">
      <alignment horizontal="center" vertical="top" shrinkToFit="1"/>
    </xf>
    <xf numFmtId="0" fontId="19" fillId="0" borderId="39" xfId="7" applyFont="1" applyBorder="1" applyAlignment="1">
      <alignment horizontal="left" vertical="top" wrapText="1" indent="26"/>
    </xf>
    <xf numFmtId="0" fontId="19" fillId="0" borderId="40" xfId="7" applyFont="1" applyBorder="1" applyAlignment="1">
      <alignment horizontal="left" vertical="top" wrapText="1" indent="26"/>
    </xf>
    <xf numFmtId="0" fontId="19" fillId="0" borderId="41" xfId="7" applyFont="1" applyBorder="1" applyAlignment="1">
      <alignment horizontal="left" vertical="top" wrapText="1" indent="26"/>
    </xf>
    <xf numFmtId="0" fontId="17" fillId="0" borderId="0" xfId="7" applyAlignment="1">
      <alignment horizontal="left" wrapText="1"/>
    </xf>
    <xf numFmtId="0" fontId="19" fillId="0" borderId="43" xfId="7" applyFont="1" applyBorder="1" applyAlignment="1">
      <alignment horizontal="left" wrapText="1"/>
    </xf>
    <xf numFmtId="0" fontId="19" fillId="0" borderId="47" xfId="7" applyFont="1" applyBorder="1" applyAlignment="1">
      <alignment horizontal="left" wrapText="1"/>
    </xf>
    <xf numFmtId="0" fontId="19" fillId="0" borderId="50" xfId="7" applyFont="1" applyBorder="1" applyAlignment="1">
      <alignment horizontal="left" wrapText="1"/>
    </xf>
    <xf numFmtId="168" fontId="23" fillId="0" borderId="45" xfId="1" applyNumberFormat="1" applyFont="1" applyBorder="1" applyAlignment="1">
      <alignment horizontal="center" wrapText="1"/>
    </xf>
    <xf numFmtId="168" fontId="23" fillId="0" borderId="0" xfId="1" applyNumberFormat="1" applyFont="1" applyAlignment="1">
      <alignment horizontal="center" wrapText="1"/>
    </xf>
    <xf numFmtId="168" fontId="23" fillId="0" borderId="52" xfId="1" applyNumberFormat="1" applyFont="1" applyBorder="1" applyAlignment="1">
      <alignment horizontal="center" wrapText="1"/>
    </xf>
    <xf numFmtId="0" fontId="18" fillId="0" borderId="39" xfId="7" applyFont="1" applyBorder="1" applyAlignment="1">
      <alignment horizontal="center" vertical="center" wrapText="1"/>
    </xf>
    <xf numFmtId="0" fontId="18" fillId="0" borderId="40" xfId="7" applyFont="1" applyBorder="1" applyAlignment="1">
      <alignment horizontal="center" vertical="center" wrapText="1"/>
    </xf>
    <xf numFmtId="0" fontId="18" fillId="0" borderId="41" xfId="7" applyFont="1" applyBorder="1" applyAlignment="1">
      <alignment horizontal="center" vertical="center" wrapText="1"/>
    </xf>
    <xf numFmtId="168" fontId="19" fillId="0" borderId="40" xfId="1" applyNumberFormat="1" applyFont="1" applyBorder="1" applyAlignment="1">
      <alignment horizontal="center" vertical="top" wrapText="1"/>
    </xf>
    <xf numFmtId="0" fontId="3" fillId="0" borderId="0" xfId="0" applyFont="1" applyAlignment="1">
      <alignment horizontal="center"/>
    </xf>
    <xf numFmtId="0" fontId="7" fillId="3" borderId="27" xfId="3" applyFont="1" applyFill="1" applyBorder="1" applyAlignment="1">
      <alignment horizontal="center" vertical="center"/>
    </xf>
    <xf numFmtId="0" fontId="4" fillId="3" borderId="27" xfId="3" applyFill="1" applyBorder="1" applyAlignment="1">
      <alignment horizontal="center" vertical="center"/>
    </xf>
    <xf numFmtId="0" fontId="3" fillId="2" borderId="4" xfId="3" applyFont="1" applyFill="1" applyBorder="1" applyAlignment="1">
      <alignment horizontal="center" vertical="center"/>
    </xf>
    <xf numFmtId="0" fontId="2" fillId="4" borderId="35" xfId="3" applyFont="1" applyFill="1" applyBorder="1" applyAlignment="1">
      <alignment horizontal="center" vertical="center" wrapText="1"/>
    </xf>
    <xf numFmtId="0" fontId="3" fillId="4" borderId="0" xfId="3" applyFont="1" applyFill="1" applyAlignment="1">
      <alignment horizontal="center" vertical="center" wrapText="1"/>
    </xf>
    <xf numFmtId="0" fontId="4" fillId="0" borderId="0" xfId="3" applyAlignment="1">
      <alignment vertical="center" wrapText="1"/>
    </xf>
    <xf numFmtId="0" fontId="3" fillId="4" borderId="35" xfId="3" applyFont="1" applyFill="1" applyBorder="1" applyAlignment="1">
      <alignment horizontal="center" vertical="center" wrapText="1"/>
    </xf>
    <xf numFmtId="0" fontId="4" fillId="0" borderId="27" xfId="3" applyBorder="1" applyAlignment="1">
      <alignment horizontal="center" vertical="center"/>
    </xf>
    <xf numFmtId="0" fontId="9" fillId="2" borderId="27" xfId="3" applyFont="1" applyFill="1" applyBorder="1" applyAlignment="1">
      <alignment horizontal="center" vertical="center"/>
    </xf>
    <xf numFmtId="0" fontId="4" fillId="0" borderId="27" xfId="3" applyBorder="1" applyAlignment="1">
      <alignment vertical="center"/>
    </xf>
    <xf numFmtId="0" fontId="6" fillId="2" borderId="3" xfId="3" applyFont="1" applyFill="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0" fontId="7" fillId="0" borderId="7" xfId="3" applyFont="1" applyBorder="1" applyAlignment="1">
      <alignment vertical="center" wrapText="1"/>
    </xf>
    <xf numFmtId="0" fontId="4" fillId="0" borderId="7" xfId="3" applyBorder="1" applyAlignment="1">
      <alignment vertical="center" wrapText="1"/>
    </xf>
    <xf numFmtId="0" fontId="7" fillId="0" borderId="0" xfId="3" applyFont="1" applyAlignment="1">
      <alignment vertical="center" wrapText="1"/>
    </xf>
    <xf numFmtId="0" fontId="9" fillId="3" borderId="11" xfId="4" applyFont="1" applyFill="1" applyBorder="1" applyAlignment="1">
      <alignment horizontal="center" vertical="center" wrapText="1"/>
    </xf>
    <xf numFmtId="0" fontId="7" fillId="3" borderId="17" xfId="3"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8" xfId="3" applyFont="1" applyFill="1" applyBorder="1" applyAlignment="1">
      <alignment horizontal="center" vertical="center" wrapText="1"/>
    </xf>
    <xf numFmtId="0" fontId="9" fillId="3" borderId="13" xfId="4" applyFont="1" applyFill="1" applyBorder="1" applyAlignment="1">
      <alignment horizontal="center" vertical="center" wrapText="1"/>
    </xf>
    <xf numFmtId="0" fontId="7" fillId="3" borderId="19" xfId="3" applyFont="1" applyFill="1" applyBorder="1" applyAlignment="1">
      <alignment horizontal="center" vertical="center" wrapText="1"/>
    </xf>
    <xf numFmtId="0" fontId="9" fillId="3" borderId="14" xfId="4" applyFont="1" applyFill="1" applyBorder="1" applyAlignment="1">
      <alignment horizontal="center" vertical="center" wrapText="1"/>
    </xf>
    <xf numFmtId="0" fontId="7" fillId="3" borderId="20" xfId="3" applyFont="1" applyFill="1" applyBorder="1" applyAlignment="1">
      <alignment horizontal="center" vertical="center" wrapText="1"/>
    </xf>
    <xf numFmtId="0" fontId="7" fillId="3" borderId="18" xfId="3" applyFont="1" applyFill="1" applyBorder="1" applyAlignment="1">
      <alignment horizontal="center" vertical="center" wrapText="1"/>
    </xf>
    <xf numFmtId="164" fontId="9" fillId="3" borderId="15" xfId="3" applyNumberFormat="1" applyFont="1" applyFill="1" applyBorder="1" applyAlignment="1">
      <alignment horizontal="center" vertical="center" wrapText="1"/>
    </xf>
    <xf numFmtId="0" fontId="4" fillId="3" borderId="15" xfId="3" applyFill="1" applyBorder="1" applyAlignment="1">
      <alignment horizontal="center" vertical="center" wrapText="1"/>
    </xf>
    <xf numFmtId="0" fontId="4" fillId="3" borderId="16" xfId="3" applyFill="1" applyBorder="1" applyAlignment="1">
      <alignment horizontal="center" vertical="center" wrapText="1"/>
    </xf>
    <xf numFmtId="0" fontId="4" fillId="3" borderId="2" xfId="3" applyFill="1" applyBorder="1" applyAlignment="1">
      <alignment horizontal="center" vertical="center" wrapText="1"/>
    </xf>
    <xf numFmtId="0" fontId="4" fillId="3" borderId="21" xfId="3" applyFill="1" applyBorder="1" applyAlignment="1">
      <alignment horizontal="center" vertical="center" wrapText="1"/>
    </xf>
    <xf numFmtId="0" fontId="4" fillId="2" borderId="27" xfId="3" applyFill="1" applyBorder="1" applyAlignment="1">
      <alignment vertical="center"/>
    </xf>
    <xf numFmtId="0" fontId="9" fillId="3" borderId="20" xfId="3" applyFont="1" applyFill="1" applyBorder="1" applyAlignment="1">
      <alignment horizontal="center" vertical="center" wrapText="1"/>
    </xf>
    <xf numFmtId="0" fontId="9" fillId="3" borderId="37" xfId="4" applyFont="1" applyFill="1" applyBorder="1" applyAlignment="1">
      <alignment horizontal="center" vertical="center" wrapText="1"/>
    </xf>
    <xf numFmtId="0" fontId="7" fillId="3" borderId="38" xfId="3" applyFont="1" applyFill="1" applyBorder="1" applyAlignment="1">
      <alignment horizontal="center" vertical="center" wrapText="1"/>
    </xf>
    <xf numFmtId="0" fontId="9" fillId="3" borderId="61" xfId="4" applyFont="1" applyFill="1" applyBorder="1" applyAlignment="1">
      <alignment horizontal="center" vertical="center" wrapText="1"/>
    </xf>
    <xf numFmtId="0" fontId="9" fillId="3" borderId="16" xfId="4" applyFont="1" applyFill="1" applyBorder="1" applyAlignment="1">
      <alignment horizontal="center" vertical="center" wrapText="1"/>
    </xf>
    <xf numFmtId="0" fontId="7" fillId="3" borderId="56" xfId="3" applyFont="1" applyFill="1" applyBorder="1" applyAlignment="1">
      <alignment horizontal="center" vertical="center" wrapText="1"/>
    </xf>
    <xf numFmtId="0" fontId="7" fillId="3" borderId="21" xfId="3" applyFont="1" applyFill="1" applyBorder="1" applyAlignment="1">
      <alignment horizontal="center" vertical="center" wrapText="1"/>
    </xf>
    <xf numFmtId="0" fontId="9" fillId="3" borderId="15" xfId="4" applyFont="1" applyFill="1" applyBorder="1" applyAlignment="1">
      <alignment horizontal="center" vertical="center" wrapText="1"/>
    </xf>
    <xf numFmtId="0" fontId="7" fillId="3" borderId="2" xfId="3" applyFont="1" applyFill="1" applyBorder="1" applyAlignment="1">
      <alignment horizontal="center" vertical="center" wrapText="1"/>
    </xf>
    <xf numFmtId="0" fontId="32" fillId="6" borderId="3" xfId="4" applyFont="1" applyFill="1" applyBorder="1" applyAlignment="1">
      <alignment horizontal="center" vertical="center" wrapText="1"/>
    </xf>
    <xf numFmtId="0" fontId="35" fillId="6" borderId="4" xfId="3" applyFont="1" applyFill="1" applyBorder="1" applyAlignment="1">
      <alignment horizontal="center" vertical="center" wrapText="1"/>
    </xf>
    <xf numFmtId="0" fontId="35" fillId="6" borderId="5" xfId="3" applyFont="1" applyFill="1" applyBorder="1" applyAlignment="1">
      <alignment horizontal="center" vertical="center" wrapText="1"/>
    </xf>
    <xf numFmtId="0" fontId="7" fillId="0" borderId="7" xfId="3" applyFont="1" applyBorder="1" applyAlignment="1">
      <alignment horizontal="left" vertical="center" wrapText="1"/>
    </xf>
    <xf numFmtId="0" fontId="4" fillId="0" borderId="7" xfId="3" applyBorder="1" applyAlignment="1">
      <alignment horizontal="left" vertical="center" wrapText="1"/>
    </xf>
    <xf numFmtId="0" fontId="7" fillId="0" borderId="0" xfId="3" applyFont="1" applyAlignment="1">
      <alignment horizontal="left" vertical="center" wrapText="1"/>
    </xf>
    <xf numFmtId="0" fontId="4" fillId="0" borderId="0" xfId="3" applyAlignment="1">
      <alignment horizontal="left" vertical="center" wrapText="1"/>
    </xf>
    <xf numFmtId="0" fontId="7" fillId="0" borderId="2" xfId="3" applyFont="1" applyBorder="1" applyAlignment="1">
      <alignment horizontal="left" vertical="center" wrapText="1"/>
    </xf>
    <xf numFmtId="0" fontId="4" fillId="0" borderId="2" xfId="3" applyBorder="1" applyAlignment="1">
      <alignment horizontal="left" vertical="center" wrapText="1"/>
    </xf>
    <xf numFmtId="0" fontId="9" fillId="6" borderId="27" xfId="3" applyFont="1" applyFill="1" applyBorder="1" applyAlignment="1">
      <alignment horizontal="center" vertical="center"/>
    </xf>
    <xf numFmtId="0" fontId="7" fillId="16" borderId="27" xfId="4" applyFont="1" applyFill="1" applyBorder="1" applyAlignment="1">
      <alignment horizontal="center" vertical="center"/>
    </xf>
    <xf numFmtId="0" fontId="12" fillId="6" borderId="4" xfId="4" applyFont="1" applyFill="1" applyBorder="1" applyAlignment="1">
      <alignment horizontal="center" vertical="center"/>
    </xf>
    <xf numFmtId="0" fontId="1" fillId="0" borderId="4" xfId="3" applyFont="1" applyBorder="1" applyAlignment="1">
      <alignment vertical="center"/>
    </xf>
    <xf numFmtId="0" fontId="10" fillId="11" borderId="36" xfId="3" applyFont="1" applyFill="1" applyBorder="1" applyAlignment="1">
      <alignment horizontal="left" vertical="top" wrapText="1"/>
    </xf>
    <xf numFmtId="0" fontId="10" fillId="11" borderId="27" xfId="3" applyFont="1" applyFill="1" applyBorder="1" applyAlignment="1">
      <alignment horizontal="left" vertical="top" wrapText="1"/>
    </xf>
    <xf numFmtId="0" fontId="10" fillId="11" borderId="33" xfId="3" applyFont="1" applyFill="1" applyBorder="1" applyAlignment="1">
      <alignment horizontal="left" vertical="top" wrapText="1"/>
    </xf>
    <xf numFmtId="176" fontId="4" fillId="11" borderId="54" xfId="3" applyNumberFormat="1" applyFill="1" applyBorder="1" applyAlignment="1">
      <alignment horizontal="center" vertical="top" wrapText="1"/>
    </xf>
    <xf numFmtId="176" fontId="4" fillId="11" borderId="25" xfId="3" applyNumberFormat="1" applyFill="1" applyBorder="1" applyAlignment="1">
      <alignment horizontal="center" vertical="top" wrapText="1"/>
    </xf>
    <xf numFmtId="0" fontId="4" fillId="12" borderId="34" xfId="3" applyFill="1" applyBorder="1" applyAlignment="1">
      <alignment horizontal="center" vertical="center" wrapText="1"/>
    </xf>
    <xf numFmtId="0" fontId="4" fillId="12" borderId="55" xfId="3" applyFill="1" applyBorder="1" applyAlignment="1">
      <alignment horizontal="center" vertical="center" wrapText="1"/>
    </xf>
    <xf numFmtId="0" fontId="10" fillId="12" borderId="36" xfId="3" applyFont="1" applyFill="1" applyBorder="1" applyAlignment="1">
      <alignment horizontal="left" vertical="top" wrapText="1"/>
    </xf>
    <xf numFmtId="0" fontId="10" fillId="12" borderId="27" xfId="3" applyFont="1" applyFill="1" applyBorder="1" applyAlignment="1">
      <alignment horizontal="left" vertical="top" wrapText="1"/>
    </xf>
    <xf numFmtId="0" fontId="10" fillId="12" borderId="33" xfId="3" applyFont="1" applyFill="1" applyBorder="1" applyAlignment="1">
      <alignment horizontal="left" vertical="top" wrapText="1"/>
    </xf>
    <xf numFmtId="176" fontId="4" fillId="12" borderId="34" xfId="3" applyNumberFormat="1" applyFill="1" applyBorder="1" applyAlignment="1">
      <alignment horizontal="center" vertical="top" wrapText="1"/>
    </xf>
    <xf numFmtId="176" fontId="4" fillId="12" borderId="55" xfId="3" applyNumberFormat="1" applyFill="1" applyBorder="1" applyAlignment="1">
      <alignment horizontal="center" vertical="top" wrapText="1"/>
    </xf>
    <xf numFmtId="176" fontId="4" fillId="7" borderId="54" xfId="3" applyNumberFormat="1" applyFill="1" applyBorder="1" applyAlignment="1">
      <alignment horizontal="center" vertical="top" wrapText="1"/>
    </xf>
    <xf numFmtId="176" fontId="4" fillId="7" borderId="29" xfId="3" applyNumberFormat="1" applyFill="1" applyBorder="1" applyAlignment="1">
      <alignment horizontal="center" vertical="top" wrapText="1"/>
    </xf>
    <xf numFmtId="0" fontId="4" fillId="6" borderId="34" xfId="3" applyFill="1" applyBorder="1" applyAlignment="1">
      <alignment horizontal="center" vertical="center" wrapText="1"/>
    </xf>
    <xf numFmtId="0" fontId="10" fillId="6" borderId="36" xfId="3" applyFont="1" applyFill="1" applyBorder="1" applyAlignment="1">
      <alignment horizontal="left" vertical="top" wrapText="1"/>
    </xf>
    <xf numFmtId="0" fontId="10" fillId="6" borderId="27" xfId="3" applyFont="1" applyFill="1" applyBorder="1" applyAlignment="1">
      <alignment horizontal="left" vertical="top" wrapText="1"/>
    </xf>
    <xf numFmtId="0" fontId="10" fillId="6" borderId="33" xfId="3" applyFont="1" applyFill="1" applyBorder="1" applyAlignment="1">
      <alignment horizontal="left" vertical="top" wrapText="1"/>
    </xf>
    <xf numFmtId="176" fontId="4" fillId="6" borderId="34" xfId="3" applyNumberFormat="1" applyFill="1" applyBorder="1" applyAlignment="1">
      <alignment horizontal="center" vertical="top" wrapText="1"/>
    </xf>
    <xf numFmtId="0" fontId="10" fillId="5" borderId="36" xfId="3" applyFont="1" applyFill="1" applyBorder="1" applyAlignment="1">
      <alignment horizontal="left" vertical="top" wrapText="1"/>
    </xf>
    <xf numFmtId="0" fontId="10" fillId="5" borderId="27" xfId="3" applyFont="1" applyFill="1" applyBorder="1" applyAlignment="1">
      <alignment horizontal="left" vertical="top" wrapText="1"/>
    </xf>
    <xf numFmtId="0" fontId="10" fillId="5" borderId="33" xfId="3" applyFont="1" applyFill="1" applyBorder="1" applyAlignment="1">
      <alignment horizontal="left" vertical="top" wrapText="1"/>
    </xf>
    <xf numFmtId="0" fontId="10" fillId="2" borderId="36" xfId="3" applyFont="1" applyFill="1" applyBorder="1" applyAlignment="1">
      <alignment horizontal="left" vertical="top" wrapText="1"/>
    </xf>
    <xf numFmtId="0" fontId="10" fillId="2" borderId="27" xfId="3" applyFont="1" applyFill="1" applyBorder="1" applyAlignment="1">
      <alignment horizontal="left" vertical="top" wrapText="1"/>
    </xf>
    <xf numFmtId="0" fontId="10" fillId="2" borderId="33" xfId="3" applyFont="1" applyFill="1" applyBorder="1" applyAlignment="1">
      <alignment horizontal="left" vertical="top" wrapText="1"/>
    </xf>
    <xf numFmtId="0" fontId="4" fillId="7" borderId="54" xfId="3" applyFill="1" applyBorder="1" applyAlignment="1">
      <alignment horizontal="center" vertical="center" wrapText="1"/>
    </xf>
    <xf numFmtId="0" fontId="4" fillId="7" borderId="29" xfId="3" applyFill="1" applyBorder="1" applyAlignment="1">
      <alignment horizontal="center" vertical="center" wrapText="1"/>
    </xf>
    <xf numFmtId="0" fontId="10" fillId="7" borderId="34" xfId="3" applyFont="1" applyFill="1" applyBorder="1" applyAlignment="1">
      <alignment horizontal="left" vertical="top" wrapText="1"/>
    </xf>
    <xf numFmtId="0" fontId="10" fillId="9" borderId="2" xfId="3" applyFont="1" applyFill="1" applyBorder="1" applyAlignment="1">
      <alignment horizontal="center" vertical="top"/>
    </xf>
    <xf numFmtId="0" fontId="4" fillId="8" borderId="54" xfId="3" applyFill="1" applyBorder="1" applyAlignment="1">
      <alignment horizontal="center" vertical="center" wrapText="1"/>
    </xf>
    <xf numFmtId="0" fontId="4" fillId="8" borderId="29" xfId="3" applyFill="1" applyBorder="1" applyAlignment="1">
      <alignment horizontal="center" vertical="center" wrapText="1"/>
    </xf>
    <xf numFmtId="0" fontId="4" fillId="8" borderId="25" xfId="3" applyFill="1" applyBorder="1" applyAlignment="1">
      <alignment horizontal="center" vertical="center" wrapText="1"/>
    </xf>
    <xf numFmtId="0" fontId="10" fillId="8" borderId="36" xfId="3" applyFont="1" applyFill="1" applyBorder="1" applyAlignment="1">
      <alignment horizontal="left" vertical="top" wrapText="1"/>
    </xf>
    <xf numFmtId="0" fontId="10" fillId="8" borderId="27" xfId="3" applyFont="1" applyFill="1" applyBorder="1" applyAlignment="1">
      <alignment horizontal="left" vertical="top" wrapText="1"/>
    </xf>
    <xf numFmtId="0" fontId="10" fillId="8" borderId="33" xfId="3" applyFont="1" applyFill="1" applyBorder="1" applyAlignment="1">
      <alignment horizontal="left" vertical="top" wrapText="1"/>
    </xf>
    <xf numFmtId="177" fontId="4" fillId="8" borderId="54" xfId="3" applyNumberFormat="1" applyFill="1" applyBorder="1" applyAlignment="1">
      <alignment horizontal="center" vertical="top" wrapText="1"/>
    </xf>
    <xf numFmtId="177" fontId="4" fillId="8" borderId="29" xfId="3" applyNumberFormat="1" applyFill="1" applyBorder="1" applyAlignment="1">
      <alignment horizontal="center" vertical="top" wrapText="1"/>
    </xf>
    <xf numFmtId="177" fontId="4" fillId="8" borderId="25" xfId="3" applyNumberFormat="1" applyFill="1" applyBorder="1" applyAlignment="1">
      <alignment horizontal="center" vertical="top" wrapText="1"/>
    </xf>
    <xf numFmtId="0" fontId="10" fillId="11" borderId="34" xfId="3" applyFont="1" applyFill="1" applyBorder="1" applyAlignment="1">
      <alignment horizontal="center" vertical="center" wrapText="1"/>
    </xf>
    <xf numFmtId="176" fontId="4" fillId="11" borderId="29" xfId="3" applyNumberFormat="1" applyFill="1" applyBorder="1" applyAlignment="1">
      <alignment horizontal="center" vertical="top" wrapText="1"/>
    </xf>
    <xf numFmtId="0" fontId="4" fillId="7" borderId="25" xfId="3" applyFill="1" applyBorder="1" applyAlignment="1">
      <alignment horizontal="center" vertical="center" wrapText="1"/>
    </xf>
    <xf numFmtId="176" fontId="4" fillId="7" borderId="25" xfId="3" applyNumberFormat="1" applyFill="1" applyBorder="1" applyAlignment="1">
      <alignment horizontal="center" vertical="top" wrapText="1"/>
    </xf>
    <xf numFmtId="0" fontId="4" fillId="2" borderId="34" xfId="3" applyFill="1" applyBorder="1" applyAlignment="1">
      <alignment horizontal="center" vertical="center" wrapText="1"/>
    </xf>
    <xf numFmtId="177" fontId="4" fillId="2" borderId="34" xfId="3" applyNumberFormat="1" applyFill="1" applyBorder="1" applyAlignment="1">
      <alignment horizontal="center" vertical="top" wrapText="1"/>
    </xf>
    <xf numFmtId="0" fontId="3" fillId="3" borderId="4" xfId="3" applyFont="1" applyFill="1" applyBorder="1" applyAlignment="1">
      <alignment horizontal="center" vertical="center"/>
    </xf>
    <xf numFmtId="0" fontId="10" fillId="8" borderId="27" xfId="3" applyFont="1" applyFill="1" applyBorder="1" applyAlignment="1">
      <alignment horizontal="center" vertical="center"/>
    </xf>
    <xf numFmtId="180" fontId="4" fillId="0" borderId="0" xfId="3" applyNumberFormat="1" applyAlignment="1">
      <alignment vertical="center"/>
    </xf>
    <xf numFmtId="0" fontId="4" fillId="0" borderId="0" xfId="3" applyAlignment="1">
      <alignment vertical="center"/>
    </xf>
    <xf numFmtId="0" fontId="4" fillId="0" borderId="10" xfId="3" applyBorder="1" applyAlignment="1">
      <alignment vertical="center"/>
    </xf>
    <xf numFmtId="180" fontId="4" fillId="0" borderId="0" xfId="3" applyNumberFormat="1" applyAlignment="1">
      <alignment vertical="center" wrapText="1"/>
    </xf>
    <xf numFmtId="0" fontId="4" fillId="0" borderId="10" xfId="3" applyBorder="1" applyAlignment="1">
      <alignment vertical="center" wrapText="1"/>
    </xf>
    <xf numFmtId="180" fontId="4" fillId="0" borderId="2" xfId="3" applyNumberFormat="1" applyBorder="1" applyAlignment="1">
      <alignment vertical="center" wrapText="1"/>
    </xf>
    <xf numFmtId="0" fontId="4" fillId="0" borderId="2" xfId="3" applyBorder="1" applyAlignment="1">
      <alignment vertical="center" wrapText="1"/>
    </xf>
    <xf numFmtId="0" fontId="4" fillId="0" borderId="21" xfId="3" applyBorder="1" applyAlignment="1">
      <alignment vertical="center" wrapText="1"/>
    </xf>
    <xf numFmtId="0" fontId="6" fillId="8" borderId="3" xfId="3" applyFont="1" applyFill="1" applyBorder="1" applyAlignment="1">
      <alignment horizontal="center" vertical="center" wrapText="1"/>
    </xf>
    <xf numFmtId="0" fontId="6" fillId="8" borderId="4" xfId="3" applyFont="1" applyFill="1" applyBorder="1" applyAlignment="1">
      <alignment horizontal="center" vertical="center" wrapText="1"/>
    </xf>
    <xf numFmtId="0" fontId="6" fillId="8" borderId="5" xfId="3" applyFont="1" applyFill="1" applyBorder="1" applyAlignment="1">
      <alignment horizontal="center" vertical="center" wrapText="1"/>
    </xf>
    <xf numFmtId="0" fontId="10" fillId="3" borderId="31" xfId="3" applyFont="1" applyFill="1" applyBorder="1" applyAlignment="1">
      <alignment horizontal="center" vertical="center"/>
    </xf>
    <xf numFmtId="0" fontId="9" fillId="3" borderId="28" xfId="3" applyFont="1" applyFill="1" applyBorder="1" applyAlignment="1">
      <alignment horizontal="center" vertical="center"/>
    </xf>
    <xf numFmtId="0" fontId="9" fillId="3" borderId="31" xfId="3" applyFont="1" applyFill="1" applyBorder="1" applyAlignment="1">
      <alignment horizontal="center" vertical="center"/>
    </xf>
    <xf numFmtId="0" fontId="4" fillId="3" borderId="27" xfId="3" applyFill="1" applyBorder="1" applyAlignment="1">
      <alignment horizontal="center" vertical="center" wrapText="1"/>
    </xf>
    <xf numFmtId="0" fontId="4" fillId="0" borderId="27" xfId="3" applyBorder="1" applyAlignment="1">
      <alignment horizontal="center" vertical="center" wrapText="1"/>
    </xf>
    <xf numFmtId="0" fontId="7" fillId="15" borderId="27" xfId="4" applyFont="1" applyFill="1" applyBorder="1" applyAlignment="1">
      <alignment horizontal="center" vertical="center"/>
    </xf>
    <xf numFmtId="0" fontId="9" fillId="13" borderId="27" xfId="4" applyFont="1" applyFill="1" applyBorder="1" applyAlignment="1">
      <alignment horizontal="center" vertical="center"/>
    </xf>
    <xf numFmtId="0" fontId="7" fillId="15" borderId="2" xfId="4" applyFont="1" applyFill="1" applyBorder="1" applyAlignment="1">
      <alignment horizontal="center" vertical="center"/>
    </xf>
    <xf numFmtId="0" fontId="4" fillId="0" borderId="2" xfId="3" applyBorder="1" applyAlignment="1">
      <alignment vertical="center"/>
    </xf>
    <xf numFmtId="0" fontId="7" fillId="3" borderId="27" xfId="4" applyFont="1" applyFill="1" applyBorder="1" applyAlignment="1">
      <alignment horizontal="center" vertical="center"/>
    </xf>
    <xf numFmtId="0" fontId="12" fillId="7" borderId="4" xfId="4" applyFont="1" applyFill="1" applyBorder="1" applyAlignment="1">
      <alignment horizontal="center" vertical="center"/>
    </xf>
    <xf numFmtId="0" fontId="3" fillId="7" borderId="4" xfId="3" applyFont="1" applyFill="1" applyBorder="1" applyAlignment="1">
      <alignment vertical="center"/>
    </xf>
    <xf numFmtId="0" fontId="32" fillId="7" borderId="3" xfId="4" applyFont="1" applyFill="1" applyBorder="1" applyAlignment="1">
      <alignment horizontal="center" vertical="center" wrapText="1"/>
    </xf>
    <xf numFmtId="0" fontId="16" fillId="7" borderId="4" xfId="3" applyFont="1" applyFill="1" applyBorder="1" applyAlignment="1">
      <alignment horizontal="center" vertical="center" wrapText="1"/>
    </xf>
    <xf numFmtId="0" fontId="16" fillId="7" borderId="5" xfId="3" applyFont="1" applyFill="1" applyBorder="1" applyAlignment="1">
      <alignment horizontal="center" vertical="center" wrapText="1"/>
    </xf>
    <xf numFmtId="0" fontId="4" fillId="3" borderId="56" xfId="3" applyFill="1" applyBorder="1" applyAlignment="1">
      <alignment horizontal="center" vertical="center" wrapText="1"/>
    </xf>
    <xf numFmtId="0" fontId="10" fillId="3" borderId="18" xfId="3" applyFont="1" applyFill="1" applyBorder="1" applyAlignment="1">
      <alignment horizontal="center" vertical="center" wrapText="1"/>
    </xf>
    <xf numFmtId="0" fontId="4" fillId="3" borderId="19" xfId="3" applyFill="1" applyBorder="1" applyAlignment="1">
      <alignment horizontal="center" vertical="center" wrapText="1"/>
    </xf>
    <xf numFmtId="0" fontId="7" fillId="14" borderId="27" xfId="4" applyFont="1" applyFill="1" applyBorder="1" applyAlignment="1">
      <alignment horizontal="center" vertical="center"/>
    </xf>
  </cellXfs>
  <cellStyles count="10">
    <cellStyle name="Comma" xfId="1" builtinId="3"/>
    <cellStyle name="Currency" xfId="9" builtinId="4"/>
    <cellStyle name="Currency 2" xfId="5" xr:uid="{191D48CA-8B54-8B46-9DDF-81AFE4A2F2B3}"/>
    <cellStyle name="Currency 2 2" xfId="6" xr:uid="{B57C0C6E-FECF-584D-9CBE-BFEF3AD001EB}"/>
    <cellStyle name="Currency 4" xfId="8" xr:uid="{CDA20D99-CEA6-2549-ABAC-79865993AAEF}"/>
    <cellStyle name="Normal" xfId="0" builtinId="0"/>
    <cellStyle name="Normal 2" xfId="3" xr:uid="{D6AFE858-436D-4743-ABFA-BF6B0C242C65}"/>
    <cellStyle name="Normal 3" xfId="4" xr:uid="{7949C1AC-5394-A843-990E-888BB88DA340}"/>
    <cellStyle name="Normal 4" xfId="7" xr:uid="{9EFD3D7B-687F-F940-A6F6-3F53EA6DB5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812800</xdr:colOff>
      <xdr:row>0</xdr:row>
      <xdr:rowOff>71966</xdr:rowOff>
    </xdr:from>
    <xdr:to>
      <xdr:col>1</xdr:col>
      <xdr:colOff>3239730</xdr:colOff>
      <xdr:row>1</xdr:row>
      <xdr:rowOff>0</xdr:rowOff>
    </xdr:to>
    <xdr:pic>
      <xdr:nvPicPr>
        <xdr:cNvPr id="2" name="Picture 1" descr="Logo, company name&#10;&#10;Description automatically generated">
          <a:extLst>
            <a:ext uri="{FF2B5EF4-FFF2-40B4-BE49-F238E27FC236}">
              <a16:creationId xmlns:a16="http://schemas.microsoft.com/office/drawing/2014/main" id="{A124F569-BC2B-FB4F-8B35-71C9017F79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21" t="14663" r="6814" b="11976"/>
        <a:stretch/>
      </xdr:blipFill>
      <xdr:spPr bwMode="auto">
        <a:xfrm>
          <a:off x="3733800" y="71966"/>
          <a:ext cx="2426930" cy="728134"/>
        </a:xfrm>
        <a:prstGeom prst="rect">
          <a:avLst/>
        </a:prstGeom>
        <a:ln>
          <a:noFill/>
        </a:ln>
        <a:extLst>
          <a:ext uri="{53640926-AAD7-44d8-BBD7-CCE9431645EC}">
            <a14:shadowObscured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el="http://schemas.microsoft.com/office/2019/extlst"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jimmylee/Team%20Shim%20Dropbox/Jimmy%20Lee/Jimmy%20x%20Haejin/HIM-Sahasee%20Embers%20Project%202024-2.xlsx" TargetMode="External"/><Relationship Id="rId1" Type="http://schemas.openxmlformats.org/officeDocument/2006/relationships/externalLinkPath" Target="/Users/Jimmy/Team%20Shim%20Dropbox/Jimmy%20Lee/Jimmy%20x%20Haejin/HIM-Sahasee%20Embers%20Project%202024-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Users/jimmylee/Team%20Shim%20Dropbox/Jimmy%20Lee/Accounting/Financial%20acivity%202024.xlsx" TargetMode="External"/><Relationship Id="rId1" Type="http://schemas.openxmlformats.org/officeDocument/2006/relationships/externalLinkPath" Target="/Users/jimmylee/Team%20Shim%20Dropbox/Jimmy%20Lee/Accounting/Financial%20acivity%20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Users/Jimmy/Desktop/Financial%20acivity%202024.xlsx" TargetMode="External"/><Relationship Id="rId1" Type="http://schemas.openxmlformats.org/officeDocument/2006/relationships/externalLinkPath" Target="/Users/Jimmy/Desktop/Financial%20acivity%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R3G2 Project (2)"/>
      <sheetName val="G.R.A.C.E. Initiative (2)"/>
      <sheetName val="Legacy Education (2)"/>
      <sheetName val="Sahasee Embers Cultural Cen (2)"/>
      <sheetName val="HIM-Embers (2)"/>
      <sheetName val="HIM-Embers"/>
      <sheetName val="Sahasee Embers Cultural Center"/>
      <sheetName val="Legacy Education"/>
      <sheetName val="G.R.A.C.E. Initiative"/>
      <sheetName val="R3G2 Project"/>
    </sheetNames>
    <sheetDataSet>
      <sheetData sheetId="0">
        <row r="6">
          <cell r="C6">
            <v>28628.424999999999</v>
          </cell>
        </row>
        <row r="7">
          <cell r="C7">
            <v>29525.7</v>
          </cell>
        </row>
        <row r="8">
          <cell r="C8">
            <v>10121.6625</v>
          </cell>
        </row>
        <row r="9">
          <cell r="C9">
            <v>6071.1749999999993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h Balance"/>
      <sheetName val="Expenses - High Level"/>
      <sheetName val="Revenue"/>
      <sheetName val="Chase Checking 6.17"/>
      <sheetName val="Gusto 6.6.24"/>
      <sheetName val="Compensation allocations"/>
      <sheetName val="Chase2115_Activity_20240529 (2)"/>
      <sheetName val="First days of 2024"/>
      <sheetName val="Donations Aplos 5.8"/>
      <sheetName val="BofA"/>
      <sheetName val="Merrill"/>
      <sheetName val="Amex"/>
      <sheetName val="Chase Credit Card"/>
    </sheetNames>
    <sheetDataSet>
      <sheetData sheetId="0">
        <row r="9">
          <cell r="C9">
            <v>684131.42500000005</v>
          </cell>
        </row>
      </sheetData>
      <sheetData sheetId="1">
        <row r="3">
          <cell r="C3">
            <v>114129.90999999999</v>
          </cell>
        </row>
      </sheetData>
      <sheetData sheetId="2">
        <row r="2">
          <cell r="E2">
            <v>261552.45000000013</v>
          </cell>
        </row>
        <row r="3">
          <cell r="E3">
            <v>5000</v>
          </cell>
        </row>
        <row r="4">
          <cell r="E4">
            <v>28500</v>
          </cell>
        </row>
        <row r="6">
          <cell r="E6">
            <v>20000</v>
          </cell>
        </row>
        <row r="10">
          <cell r="E10">
            <v>5000</v>
          </cell>
        </row>
        <row r="16">
          <cell r="E16">
            <v>60000</v>
          </cell>
        </row>
        <row r="17">
          <cell r="E17">
            <v>50000</v>
          </cell>
        </row>
      </sheetData>
      <sheetData sheetId="3"/>
      <sheetData sheetId="4"/>
      <sheetData sheetId="5"/>
      <sheetData sheetId="6"/>
      <sheetData sheetId="7"/>
      <sheetData sheetId="8"/>
      <sheetData sheetId="9">
        <row r="28">
          <cell r="X28">
            <v>5919.0644822011236</v>
          </cell>
          <cell r="Y28">
            <v>10556.935517798876</v>
          </cell>
        </row>
      </sheetData>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se Checkings"/>
      <sheetName val="Cash"/>
      <sheetName val="Expenses - High Level"/>
      <sheetName val="Revenue"/>
      <sheetName val="Gusto 6.6.24"/>
      <sheetName val="Compensation allocations"/>
      <sheetName val="First days of 2024"/>
      <sheetName val="BofA"/>
      <sheetName val="Merrill"/>
      <sheetName val="Amex"/>
      <sheetName val="Chase Credit Card"/>
      <sheetName val="Chase2115_Activity_20240529 (2)"/>
      <sheetName val="Donations Aplos 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person displayName="Kathryn Paik" id="{FFC9B606-E39B-BC4A-A3E0-2F6AF8BA64B2}" userId="Kathryn Paik"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0" dT="2023-11-17T17:55:59.04" personId="{FFC9B606-E39B-BC4A-A3E0-2F6AF8BA64B2}" id="{E84EBA03-6947-E546-9EE3-08836B2D09D1}">
    <text>3 jr teachers @ 20,000Rs/mo + 1 sn teacher @ 25,000/mo + Susanna @ 44,000/mo + P/T English teacher @ 15,000/mo</text>
  </threadedComment>
  <threadedComment ref="H17" dT="2023-11-17T17:33:06.65" personId="{FFC9B606-E39B-BC4A-A3E0-2F6AF8BA64B2}" id="{D2A4BFEA-A8D0-144C-8846-9B964F97EC96}">
    <text>We anticipate 2 from 2023 to continue into 1st standard; add +1 new student and 3 new 2nd standard for total of 6 students w/10% increase tuition each standard</text>
  </threadedComment>
  <threadedComment ref="H18" dT="2023-11-17T17:29:37.71" personId="{FFC9B606-E39B-BC4A-A3E0-2F6AF8BA64B2}" id="{7B2A7ABE-DBA9-C04E-BAD0-9F3BD60283FB}">
    <text>2024 we anticipate 3 students into local schools avg. fees 24,000Rs.</text>
  </threadedComment>
  <threadedComment ref="H49" dT="2023-11-17T17:49:17.81" personId="{FFC9B606-E39B-BC4A-A3E0-2F6AF8BA64B2}" id="{A69397CA-30E8-0148-AAB8-696911E7E40F}">
    <text>Monthly 1500 Rs/child * 9 months * 74 students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A788-7840-5C48-9269-AFDD6B22CF0F}">
  <dimension ref="A1:H39"/>
  <sheetViews>
    <sheetView tabSelected="1" zoomScale="150" workbookViewId="0">
      <pane xSplit="4" ySplit="1" topLeftCell="E2" activePane="bottomRight" state="frozen"/>
      <selection activeCell="G26" sqref="G26"/>
      <selection pane="topRight" activeCell="G26" sqref="G26"/>
      <selection pane="bottomLeft" activeCell="G26" sqref="G26"/>
      <selection pane="bottomRight" activeCell="J20" sqref="J20"/>
    </sheetView>
  </sheetViews>
  <sheetFormatPr baseColWidth="10" defaultColWidth="10.83203125" defaultRowHeight="16" x14ac:dyDescent="0.2"/>
  <cols>
    <col min="1" max="1" width="3.33203125" customWidth="1"/>
    <col min="2" max="2" width="2.6640625" style="3" customWidth="1"/>
    <col min="3" max="3" width="6.6640625" customWidth="1"/>
    <col min="4" max="4" width="25.5" customWidth="1"/>
    <col min="5" max="5" width="11.5" style="101" bestFit="1" customWidth="1"/>
    <col min="6" max="6" width="10.83203125" style="123"/>
  </cols>
  <sheetData>
    <row r="1" spans="1:6" s="3" customFormat="1" x14ac:dyDescent="0.2">
      <c r="A1" s="192" t="s">
        <v>635</v>
      </c>
      <c r="B1" s="194"/>
      <c r="C1" s="194"/>
      <c r="D1" s="194"/>
      <c r="E1" s="195" t="s">
        <v>107</v>
      </c>
      <c r="F1" s="351" t="s">
        <v>386</v>
      </c>
    </row>
    <row r="2" spans="1:6" s="3" customFormat="1" ht="11" customHeight="1" x14ac:dyDescent="0.2">
      <c r="E2" s="611"/>
      <c r="F2" s="612"/>
    </row>
    <row r="3" spans="1:6" s="3" customFormat="1" x14ac:dyDescent="0.2">
      <c r="A3" s="3" t="s">
        <v>596</v>
      </c>
      <c r="E3" s="611"/>
      <c r="F3" s="612"/>
    </row>
    <row r="4" spans="1:6" s="3" customFormat="1" x14ac:dyDescent="0.2">
      <c r="B4" t="s">
        <v>598</v>
      </c>
      <c r="C4"/>
      <c r="D4"/>
      <c r="E4" s="634">
        <v>640000</v>
      </c>
      <c r="F4" s="635">
        <f>E4/E6</f>
        <v>0.98461538461538467</v>
      </c>
    </row>
    <row r="5" spans="1:6" s="3" customFormat="1" x14ac:dyDescent="0.2">
      <c r="B5" t="s">
        <v>20</v>
      </c>
      <c r="C5"/>
      <c r="D5"/>
      <c r="E5" s="634">
        <v>10000</v>
      </c>
      <c r="F5" s="635">
        <f>E5/E6</f>
        <v>1.5384615384615385E-2</v>
      </c>
    </row>
    <row r="6" spans="1:6" s="3" customFormat="1" x14ac:dyDescent="0.2">
      <c r="B6" s="608" t="s">
        <v>634</v>
      </c>
      <c r="C6" s="608"/>
      <c r="D6" s="608"/>
      <c r="E6" s="609">
        <f>E4+E5</f>
        <v>650000</v>
      </c>
      <c r="F6" s="636">
        <f>F4+F5</f>
        <v>1</v>
      </c>
    </row>
    <row r="7" spans="1:6" s="3" customFormat="1" ht="11" customHeight="1" x14ac:dyDescent="0.2">
      <c r="E7" s="611"/>
      <c r="F7" s="612"/>
    </row>
    <row r="8" spans="1:6" s="3" customFormat="1" x14ac:dyDescent="0.2">
      <c r="A8" s="3" t="s">
        <v>597</v>
      </c>
      <c r="E8" s="611"/>
      <c r="F8" s="612"/>
    </row>
    <row r="9" spans="1:6" x14ac:dyDescent="0.2">
      <c r="B9" s="3" t="s">
        <v>0</v>
      </c>
    </row>
    <row r="10" spans="1:6" x14ac:dyDescent="0.2">
      <c r="C10" t="s">
        <v>1</v>
      </c>
      <c r="E10" s="101">
        <f>'R3G2 - Haejin'!K55</f>
        <v>145041.52666666667</v>
      </c>
      <c r="F10" s="503">
        <f t="shared" ref="F10:F17" si="0">E10/$E$37</f>
        <v>0.20822119871726616</v>
      </c>
    </row>
    <row r="11" spans="1:6" x14ac:dyDescent="0.2">
      <c r="C11" t="s">
        <v>2</v>
      </c>
      <c r="E11" s="101">
        <f>'G.R.A.C.E.'!H64</f>
        <v>113679.7375</v>
      </c>
      <c r="F11" s="503">
        <f t="shared" si="0"/>
        <v>0.16319830434847524</v>
      </c>
    </row>
    <row r="12" spans="1:6" x14ac:dyDescent="0.2">
      <c r="C12" t="s">
        <v>3</v>
      </c>
      <c r="E12" s="101">
        <f>'Legacy Education - Haejin'!P38</f>
        <v>17100.335999999999</v>
      </c>
      <c r="F12" s="503">
        <f t="shared" si="0"/>
        <v>2.4549193201551751E-2</v>
      </c>
    </row>
    <row r="13" spans="1:6" x14ac:dyDescent="0.2">
      <c r="C13" t="s">
        <v>615</v>
      </c>
      <c r="E13" s="101">
        <f>+'Sahasee Embers'!I35</f>
        <v>59883.65625</v>
      </c>
      <c r="F13" s="503">
        <f t="shared" si="0"/>
        <v>8.5968804758956907E-2</v>
      </c>
    </row>
    <row r="14" spans="1:6" x14ac:dyDescent="0.2">
      <c r="C14" t="s">
        <v>638</v>
      </c>
      <c r="E14" s="101">
        <v>75000</v>
      </c>
      <c r="F14" s="503">
        <f t="shared" si="0"/>
        <v>0.10766978438998985</v>
      </c>
    </row>
    <row r="15" spans="1:6" x14ac:dyDescent="0.2">
      <c r="C15" t="s">
        <v>5</v>
      </c>
      <c r="E15" s="101">
        <f>'HQ staff'!Q11</f>
        <v>150528</v>
      </c>
      <c r="F15" s="503">
        <f t="shared" si="0"/>
        <v>0.21609756406208522</v>
      </c>
    </row>
    <row r="16" spans="1:6" x14ac:dyDescent="0.2">
      <c r="C16" t="s">
        <v>6</v>
      </c>
      <c r="E16" s="101">
        <f>Communications!Q39</f>
        <v>2688</v>
      </c>
      <c r="F16" s="503">
        <f t="shared" si="0"/>
        <v>3.858885072537236E-3</v>
      </c>
    </row>
    <row r="17" spans="2:8" x14ac:dyDescent="0.2">
      <c r="B17" s="3" t="s">
        <v>9</v>
      </c>
      <c r="C17" s="107"/>
      <c r="D17" s="107"/>
      <c r="E17" s="189">
        <f>SUM(E10:E16)</f>
        <v>563921.25641666667</v>
      </c>
      <c r="F17" s="504">
        <f t="shared" si="0"/>
        <v>0.80956373455086239</v>
      </c>
      <c r="G17" s="3"/>
      <c r="H17" s="3"/>
    </row>
    <row r="18" spans="2:8" ht="9" customHeight="1" x14ac:dyDescent="0.2">
      <c r="F18" s="503"/>
    </row>
    <row r="19" spans="2:8" x14ac:dyDescent="0.2">
      <c r="B19" s="3" t="s">
        <v>11</v>
      </c>
      <c r="F19" s="503"/>
    </row>
    <row r="20" spans="2:8" x14ac:dyDescent="0.2">
      <c r="C20" t="s">
        <v>5</v>
      </c>
      <c r="E20" s="101">
        <f>'HQ staff'!R11</f>
        <v>77619</v>
      </c>
      <c r="F20" s="503">
        <f>E20/$E$37</f>
        <v>0.11142961326088829</v>
      </c>
    </row>
    <row r="21" spans="2:8" x14ac:dyDescent="0.2">
      <c r="C21" t="s">
        <v>12</v>
      </c>
      <c r="E21" s="101">
        <f>Communications!Q13</f>
        <v>5868</v>
      </c>
      <c r="F21" s="503">
        <f>E21/$E$37</f>
        <v>8.4240839306728051E-3</v>
      </c>
    </row>
    <row r="22" spans="2:8" x14ac:dyDescent="0.2">
      <c r="C22" t="s">
        <v>13</v>
      </c>
      <c r="E22" s="101">
        <f>Communications!Q25</f>
        <v>7400</v>
      </c>
      <c r="F22" s="503">
        <f>E22/$E$37</f>
        <v>1.0623418726478998E-2</v>
      </c>
    </row>
    <row r="23" spans="2:8" x14ac:dyDescent="0.2">
      <c r="C23" t="s">
        <v>20</v>
      </c>
      <c r="E23" s="101">
        <f>Communications!Q31</f>
        <v>1345</v>
      </c>
      <c r="F23" s="503">
        <f>E23/$E$37</f>
        <v>1.9308781333938179E-3</v>
      </c>
    </row>
    <row r="24" spans="2:8" x14ac:dyDescent="0.2">
      <c r="B24" s="3" t="s">
        <v>14</v>
      </c>
      <c r="C24" s="107"/>
      <c r="D24" s="107"/>
      <c r="E24" s="189">
        <f t="shared" ref="E24" si="1">SUM(E20:E23)</f>
        <v>92232</v>
      </c>
      <c r="F24" s="504">
        <f>E24/$E$37</f>
        <v>0.13240799405143391</v>
      </c>
      <c r="G24" s="3"/>
    </row>
    <row r="25" spans="2:8" ht="9" customHeight="1" x14ac:dyDescent="0.2">
      <c r="F25" s="503"/>
    </row>
    <row r="26" spans="2:8" x14ac:dyDescent="0.2">
      <c r="B26" s="3" t="s">
        <v>15</v>
      </c>
      <c r="F26" s="503"/>
    </row>
    <row r="27" spans="2:8" x14ac:dyDescent="0.2">
      <c r="C27" t="s">
        <v>5</v>
      </c>
      <c r="E27" s="101">
        <f>'HQ staff'!S11</f>
        <v>12771</v>
      </c>
      <c r="F27" s="503">
        <f t="shared" ref="F27:F35" si="2">E27/$E$37</f>
        <v>1.8334010885927472E-2</v>
      </c>
    </row>
    <row r="28" spans="2:8" x14ac:dyDescent="0.2">
      <c r="C28" t="s">
        <v>264</v>
      </c>
      <c r="E28" s="101">
        <f>Admin!C11</f>
        <v>0</v>
      </c>
      <c r="F28" s="503">
        <f t="shared" si="2"/>
        <v>0</v>
      </c>
    </row>
    <row r="29" spans="2:8" x14ac:dyDescent="0.2">
      <c r="C29" t="s">
        <v>16</v>
      </c>
      <c r="E29" s="101">
        <f>Admin!C2</f>
        <v>15000</v>
      </c>
      <c r="F29" s="503">
        <f t="shared" si="2"/>
        <v>2.1533956877997969E-2</v>
      </c>
    </row>
    <row r="30" spans="2:8" x14ac:dyDescent="0.2">
      <c r="C30" t="s">
        <v>17</v>
      </c>
      <c r="E30" s="101">
        <f>Admin!C3</f>
        <v>4000</v>
      </c>
      <c r="F30" s="503">
        <f t="shared" si="2"/>
        <v>5.7423885007994585E-3</v>
      </c>
    </row>
    <row r="31" spans="2:8" x14ac:dyDescent="0.2">
      <c r="C31" t="s">
        <v>18</v>
      </c>
      <c r="E31" s="101">
        <f>Admin!C4</f>
        <v>3000</v>
      </c>
      <c r="F31" s="503">
        <f t="shared" si="2"/>
        <v>4.3067913755995939E-3</v>
      </c>
    </row>
    <row r="32" spans="2:8" x14ac:dyDescent="0.2">
      <c r="C32" s="127" t="s">
        <v>189</v>
      </c>
      <c r="E32" s="101">
        <f>Admin!C5</f>
        <v>2000</v>
      </c>
      <c r="F32" s="503">
        <f t="shared" si="2"/>
        <v>2.8711942503997293E-3</v>
      </c>
    </row>
    <row r="33" spans="1:7" x14ac:dyDescent="0.2">
      <c r="C33" t="s">
        <v>19</v>
      </c>
      <c r="E33" s="101">
        <f>Admin!C6+Admin!C7</f>
        <v>2500</v>
      </c>
      <c r="F33" s="503">
        <f t="shared" si="2"/>
        <v>3.5889928129996616E-3</v>
      </c>
    </row>
    <row r="34" spans="1:7" x14ac:dyDescent="0.2">
      <c r="C34" t="s">
        <v>20</v>
      </c>
      <c r="E34" s="101">
        <f>SUM(Admin!C8:C11)</f>
        <v>1150</v>
      </c>
      <c r="F34" s="503">
        <f t="shared" si="2"/>
        <v>1.6509366939798443E-3</v>
      </c>
    </row>
    <row r="35" spans="1:7" x14ac:dyDescent="0.2">
      <c r="B35" s="3" t="s">
        <v>21</v>
      </c>
      <c r="C35" s="107"/>
      <c r="D35" s="107"/>
      <c r="E35" s="189">
        <f t="shared" ref="E35" si="3">SUM(E27:E34)</f>
        <v>40421</v>
      </c>
      <c r="F35" s="504">
        <f t="shared" si="2"/>
        <v>5.8028271397703723E-2</v>
      </c>
      <c r="G35" s="3"/>
    </row>
    <row r="36" spans="1:7" ht="7" customHeight="1" x14ac:dyDescent="0.2">
      <c r="F36" s="503"/>
    </row>
    <row r="37" spans="1:7" x14ac:dyDescent="0.2">
      <c r="B37" s="3" t="s">
        <v>636</v>
      </c>
      <c r="E37" s="188">
        <f t="shared" ref="E37" si="4">E35+E24+E17</f>
        <v>696574.25641666667</v>
      </c>
      <c r="F37" s="637">
        <f>E37/$E$37</f>
        <v>1</v>
      </c>
    </row>
    <row r="38" spans="1:7" ht="6" customHeight="1" x14ac:dyDescent="0.2"/>
    <row r="39" spans="1:7" x14ac:dyDescent="0.2">
      <c r="A39" s="3" t="s">
        <v>637</v>
      </c>
      <c r="E39" s="188">
        <f>E6-E37</f>
        <v>-46574.256416666671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6D527-9E92-ED4F-B53A-4AFE820D9FE3}">
  <sheetPr>
    <pageSetUpPr fitToPage="1"/>
  </sheetPr>
  <dimension ref="A1:K58"/>
  <sheetViews>
    <sheetView topLeftCell="A5" zoomScale="150" zoomScaleNormal="150" workbookViewId="0">
      <pane xSplit="2" ySplit="5" topLeftCell="C43" activePane="bottomRight" state="frozen"/>
      <selection activeCell="G26" sqref="G26"/>
      <selection pane="topRight" activeCell="G26" sqref="G26"/>
      <selection pane="bottomLeft" activeCell="G26" sqref="G26"/>
      <selection pane="bottomRight" activeCell="G26" sqref="G26"/>
    </sheetView>
  </sheetViews>
  <sheetFormatPr baseColWidth="10" defaultColWidth="8.83203125" defaultRowHeight="15" x14ac:dyDescent="0.2"/>
  <cols>
    <col min="1" max="1" width="10.83203125" style="98" customWidth="1"/>
    <col min="2" max="3" width="40.83203125" style="99" customWidth="1"/>
    <col min="4" max="8" width="15.83203125" style="99" customWidth="1"/>
    <col min="9" max="9" width="5.83203125" style="100" customWidth="1"/>
    <col min="10" max="10" width="16.83203125" style="98" customWidth="1"/>
    <col min="11" max="11" width="15.83203125" style="98" customWidth="1"/>
    <col min="12" max="16384" width="8.83203125" style="5"/>
  </cols>
  <sheetData>
    <row r="1" spans="1:11" ht="47.25" customHeight="1" thickBot="1" x14ac:dyDescent="0.25">
      <c r="A1" s="702" t="s">
        <v>27</v>
      </c>
      <c r="B1" s="703"/>
      <c r="C1" s="703"/>
      <c r="D1" s="703"/>
      <c r="E1" s="703"/>
      <c r="F1" s="703"/>
      <c r="G1" s="703"/>
      <c r="H1" s="703"/>
      <c r="I1" s="703"/>
      <c r="J1" s="703"/>
      <c r="K1" s="704"/>
    </row>
    <row r="2" spans="1:11" ht="15.75" customHeight="1" x14ac:dyDescent="0.2">
      <c r="A2" s="6"/>
      <c r="B2" s="705" t="s">
        <v>28</v>
      </c>
      <c r="C2" s="706"/>
      <c r="D2" s="706"/>
      <c r="E2" s="706"/>
      <c r="F2" s="706"/>
      <c r="G2" s="706"/>
      <c r="H2" s="706"/>
      <c r="I2" s="706"/>
      <c r="J2" s="706"/>
      <c r="K2" s="7"/>
    </row>
    <row r="3" spans="1:11" ht="15.75" customHeight="1" x14ac:dyDescent="0.2">
      <c r="A3" s="8"/>
      <c r="B3" s="707" t="s">
        <v>29</v>
      </c>
      <c r="C3" s="697"/>
      <c r="D3" s="697"/>
      <c r="E3" s="697"/>
      <c r="F3" s="697"/>
      <c r="G3" s="697"/>
      <c r="H3" s="697"/>
      <c r="I3" s="697"/>
      <c r="J3" s="697"/>
      <c r="K3" s="10"/>
    </row>
    <row r="4" spans="1:11" ht="31.5" customHeight="1" x14ac:dyDescent="0.2">
      <c r="A4" s="8"/>
      <c r="B4" s="707" t="s">
        <v>30</v>
      </c>
      <c r="C4" s="697"/>
      <c r="D4" s="697"/>
      <c r="E4" s="697"/>
      <c r="F4" s="697"/>
      <c r="G4" s="697"/>
      <c r="H4" s="697"/>
      <c r="I4" s="697"/>
      <c r="J4" s="697"/>
      <c r="K4" s="10"/>
    </row>
    <row r="5" spans="1:11" ht="31.5" customHeight="1" x14ac:dyDescent="0.2">
      <c r="A5" s="8"/>
      <c r="B5" s="707" t="s">
        <v>31</v>
      </c>
      <c r="C5" s="697"/>
      <c r="D5" s="697"/>
      <c r="E5" s="697"/>
      <c r="F5" s="697"/>
      <c r="G5" s="697"/>
      <c r="H5" s="697"/>
      <c r="I5" s="697"/>
      <c r="J5" s="697"/>
      <c r="K5" s="10"/>
    </row>
    <row r="6" spans="1:11" ht="15.75" customHeight="1" x14ac:dyDescent="0.2">
      <c r="A6" s="708" t="s">
        <v>32</v>
      </c>
      <c r="B6" s="710" t="s">
        <v>33</v>
      </c>
      <c r="C6" s="712" t="s">
        <v>34</v>
      </c>
      <c r="D6" s="714" t="s">
        <v>35</v>
      </c>
      <c r="E6" s="712"/>
      <c r="F6" s="710" t="s">
        <v>36</v>
      </c>
      <c r="G6" s="712"/>
      <c r="H6" s="717" t="s">
        <v>37</v>
      </c>
      <c r="I6" s="718"/>
      <c r="J6" s="718"/>
      <c r="K6" s="719"/>
    </row>
    <row r="7" spans="1:11" ht="15" customHeight="1" x14ac:dyDescent="0.2">
      <c r="A7" s="709"/>
      <c r="B7" s="711"/>
      <c r="C7" s="713"/>
      <c r="D7" s="715"/>
      <c r="E7" s="713"/>
      <c r="F7" s="716"/>
      <c r="G7" s="713"/>
      <c r="H7" s="720"/>
      <c r="I7" s="720"/>
      <c r="J7" s="720"/>
      <c r="K7" s="721"/>
    </row>
    <row r="8" spans="1:11" ht="15" customHeight="1" x14ac:dyDescent="0.2">
      <c r="A8" s="11"/>
      <c r="B8" s="12"/>
      <c r="C8" s="13"/>
      <c r="D8" s="14"/>
      <c r="E8" s="13"/>
      <c r="F8" s="15"/>
      <c r="G8" s="13"/>
      <c r="H8" s="16"/>
      <c r="I8" s="17"/>
      <c r="J8" s="18"/>
      <c r="K8" s="19"/>
    </row>
    <row r="9" spans="1:11" ht="31.5" customHeight="1" x14ac:dyDescent="0.2">
      <c r="A9" s="20"/>
      <c r="B9" s="700" t="s">
        <v>38</v>
      </c>
      <c r="C9" s="701"/>
      <c r="D9" s="21" t="s">
        <v>39</v>
      </c>
      <c r="E9" s="21" t="s">
        <v>40</v>
      </c>
      <c r="F9" s="21" t="s">
        <v>39</v>
      </c>
      <c r="G9" s="21" t="s">
        <v>40</v>
      </c>
      <c r="H9" s="21" t="s">
        <v>41</v>
      </c>
      <c r="I9" s="21" t="s">
        <v>42</v>
      </c>
      <c r="J9" s="21" t="s">
        <v>39</v>
      </c>
      <c r="K9" s="22" t="s">
        <v>40</v>
      </c>
    </row>
    <row r="10" spans="1:11" ht="15.75" customHeight="1" x14ac:dyDescent="0.2">
      <c r="A10" s="23"/>
      <c r="B10" s="24" t="s">
        <v>43</v>
      </c>
      <c r="C10" s="25" t="s">
        <v>44</v>
      </c>
      <c r="D10" s="26">
        <v>30000</v>
      </c>
      <c r="E10" s="27">
        <f>D10/75</f>
        <v>400</v>
      </c>
      <c r="F10" s="26">
        <v>90000</v>
      </c>
      <c r="G10" s="27">
        <f>F10/75</f>
        <v>1200</v>
      </c>
      <c r="H10" s="28">
        <v>30000</v>
      </c>
      <c r="I10" s="29">
        <v>12</v>
      </c>
      <c r="J10" s="30">
        <f>H10*I10</f>
        <v>360000</v>
      </c>
      <c r="K10" s="27">
        <f t="shared" ref="K10:K16" si="0">J10/75</f>
        <v>4800</v>
      </c>
    </row>
    <row r="11" spans="1:11" ht="31.5" customHeight="1" x14ac:dyDescent="0.2">
      <c r="A11" s="23"/>
      <c r="B11" s="31" t="s">
        <v>45</v>
      </c>
      <c r="C11" s="25" t="s">
        <v>46</v>
      </c>
      <c r="D11" s="26">
        <v>295000</v>
      </c>
      <c r="E11" s="27">
        <f>D11/75</f>
        <v>3933.3333333333335</v>
      </c>
      <c r="F11" s="26">
        <v>400000</v>
      </c>
      <c r="G11" s="27">
        <f>F11/75</f>
        <v>5333.333333333333</v>
      </c>
      <c r="H11" s="28">
        <v>35000</v>
      </c>
      <c r="I11" s="29">
        <v>12</v>
      </c>
      <c r="J11" s="30">
        <f>H11*I11</f>
        <v>420000</v>
      </c>
      <c r="K11" s="27">
        <f t="shared" si="0"/>
        <v>5600</v>
      </c>
    </row>
    <row r="12" spans="1:11" ht="47.25" customHeight="1" x14ac:dyDescent="0.2">
      <c r="A12" s="23"/>
      <c r="B12" s="31" t="s">
        <v>47</v>
      </c>
      <c r="C12" s="25" t="s">
        <v>48</v>
      </c>
      <c r="D12" s="26">
        <v>25960</v>
      </c>
      <c r="E12" s="27">
        <f>D12/75</f>
        <v>346.13333333333333</v>
      </c>
      <c r="F12" s="26">
        <v>30373.200000000001</v>
      </c>
      <c r="G12" s="27">
        <f>F12/75</f>
        <v>404.976</v>
      </c>
      <c r="H12" s="28">
        <v>461100</v>
      </c>
      <c r="I12" s="29">
        <v>1</v>
      </c>
      <c r="J12" s="30">
        <v>435280</v>
      </c>
      <c r="K12" s="27">
        <f t="shared" si="0"/>
        <v>5803.7333333333336</v>
      </c>
    </row>
    <row r="13" spans="1:11" ht="15.75" customHeight="1" x14ac:dyDescent="0.2">
      <c r="A13" s="23"/>
      <c r="B13" s="24" t="s">
        <v>49</v>
      </c>
      <c r="C13" s="25"/>
      <c r="D13" s="26">
        <v>210000</v>
      </c>
      <c r="E13" s="27">
        <f>D13/75</f>
        <v>2800</v>
      </c>
      <c r="F13" s="26">
        <v>420000</v>
      </c>
      <c r="G13" s="27">
        <f>F13/75</f>
        <v>5600</v>
      </c>
      <c r="H13" s="28">
        <v>35000</v>
      </c>
      <c r="I13" s="29">
        <v>12</v>
      </c>
      <c r="J13" s="30">
        <f>H13*I13</f>
        <v>420000</v>
      </c>
      <c r="K13" s="27">
        <f t="shared" si="0"/>
        <v>5600</v>
      </c>
    </row>
    <row r="14" spans="1:11" ht="15.75" customHeight="1" x14ac:dyDescent="0.2">
      <c r="A14" s="23"/>
      <c r="B14" s="24" t="s">
        <v>50</v>
      </c>
      <c r="C14" s="25"/>
      <c r="D14" s="26"/>
      <c r="E14" s="32"/>
      <c r="F14" s="33"/>
      <c r="G14" s="32"/>
      <c r="H14" s="28">
        <v>30000</v>
      </c>
      <c r="I14" s="29">
        <v>12</v>
      </c>
      <c r="J14" s="30">
        <f>H14*I14</f>
        <v>360000</v>
      </c>
      <c r="K14" s="27">
        <f t="shared" si="0"/>
        <v>4800</v>
      </c>
    </row>
    <row r="15" spans="1:11" ht="15.75" customHeight="1" x14ac:dyDescent="0.2">
      <c r="A15" s="23"/>
      <c r="B15" s="24" t="s">
        <v>51</v>
      </c>
      <c r="C15" s="25"/>
      <c r="D15" s="34"/>
      <c r="E15" s="32"/>
      <c r="F15" s="33"/>
      <c r="G15" s="32"/>
      <c r="H15" s="28">
        <v>35000</v>
      </c>
      <c r="I15" s="29">
        <v>12</v>
      </c>
      <c r="J15" s="30">
        <f>H15*I15</f>
        <v>420000</v>
      </c>
      <c r="K15" s="27">
        <f t="shared" si="0"/>
        <v>5600</v>
      </c>
    </row>
    <row r="16" spans="1:11" ht="15.75" customHeight="1" x14ac:dyDescent="0.2">
      <c r="A16" s="23"/>
      <c r="B16" s="31" t="s">
        <v>52</v>
      </c>
      <c r="C16" s="25"/>
      <c r="D16" s="34"/>
      <c r="E16" s="25"/>
      <c r="F16" s="24"/>
      <c r="G16" s="25"/>
      <c r="H16" s="30">
        <v>65000</v>
      </c>
      <c r="I16" s="29">
        <v>2</v>
      </c>
      <c r="J16" s="30">
        <f>H16*I16</f>
        <v>130000</v>
      </c>
      <c r="K16" s="27">
        <f t="shared" si="0"/>
        <v>1733.3333333333333</v>
      </c>
    </row>
    <row r="17" spans="1:11" ht="15.75" customHeight="1" x14ac:dyDescent="0.2">
      <c r="A17" s="35"/>
      <c r="B17" s="692" t="s">
        <v>53</v>
      </c>
      <c r="C17" s="701"/>
      <c r="D17" s="37">
        <f>SUM(D10:D16)</f>
        <v>560960</v>
      </c>
      <c r="E17" s="38">
        <f>D17/75</f>
        <v>7479.4666666666662</v>
      </c>
      <c r="F17" s="37">
        <f>SUM(F10:F16)</f>
        <v>940373.2</v>
      </c>
      <c r="G17" s="38">
        <f>F17/75</f>
        <v>12538.309333333333</v>
      </c>
      <c r="H17" s="37"/>
      <c r="I17" s="36"/>
      <c r="J17" s="37">
        <f>SUM(J10:J16)</f>
        <v>2545280</v>
      </c>
      <c r="K17" s="39">
        <f>(J17/75)</f>
        <v>33937.066666666666</v>
      </c>
    </row>
    <row r="18" spans="1:11" ht="15.75" customHeight="1" x14ac:dyDescent="0.2">
      <c r="A18" s="40"/>
      <c r="B18" s="41"/>
      <c r="C18" s="42"/>
      <c r="D18" s="43"/>
      <c r="E18" s="44"/>
      <c r="F18" s="45"/>
      <c r="G18" s="46"/>
      <c r="H18" s="43"/>
      <c r="I18" s="47"/>
      <c r="J18" s="43"/>
      <c r="K18" s="48"/>
    </row>
    <row r="19" spans="1:11" ht="31.5" customHeight="1" x14ac:dyDescent="0.2">
      <c r="A19" s="20"/>
      <c r="B19" s="700" t="s">
        <v>54</v>
      </c>
      <c r="C19" s="722"/>
      <c r="D19" s="21" t="s">
        <v>39</v>
      </c>
      <c r="E19" s="21" t="s">
        <v>40</v>
      </c>
      <c r="F19" s="21" t="s">
        <v>39</v>
      </c>
      <c r="G19" s="21" t="s">
        <v>40</v>
      </c>
      <c r="H19" s="21" t="s">
        <v>41</v>
      </c>
      <c r="I19" s="21" t="s">
        <v>42</v>
      </c>
      <c r="J19" s="21" t="s">
        <v>39</v>
      </c>
      <c r="K19" s="22" t="s">
        <v>40</v>
      </c>
    </row>
    <row r="20" spans="1:11" ht="47.25" customHeight="1" x14ac:dyDescent="0.2">
      <c r="A20" s="23"/>
      <c r="B20" s="24" t="s">
        <v>55</v>
      </c>
      <c r="C20" s="49" t="s">
        <v>56</v>
      </c>
      <c r="D20" s="26">
        <v>127000</v>
      </c>
      <c r="E20" s="27">
        <f>D20/75</f>
        <v>1693.3333333333333</v>
      </c>
      <c r="F20" s="26">
        <v>167000</v>
      </c>
      <c r="G20" s="27">
        <f>F20/75</f>
        <v>2226.6666666666665</v>
      </c>
      <c r="H20" s="28">
        <v>120000</v>
      </c>
      <c r="I20" s="29">
        <v>7</v>
      </c>
      <c r="J20" s="589">
        <f>H20*I20</f>
        <v>840000</v>
      </c>
      <c r="K20" s="27">
        <f>J20/75</f>
        <v>11200</v>
      </c>
    </row>
    <row r="21" spans="1:11" ht="63" customHeight="1" x14ac:dyDescent="0.2">
      <c r="A21" s="23"/>
      <c r="B21" s="31" t="s">
        <v>57</v>
      </c>
      <c r="C21" s="49" t="s">
        <v>58</v>
      </c>
      <c r="D21" s="26">
        <v>285445</v>
      </c>
      <c r="E21" s="27">
        <f>D21/75</f>
        <v>3805.9333333333334</v>
      </c>
      <c r="F21" s="26">
        <v>345445</v>
      </c>
      <c r="G21" s="27">
        <f>F21/75</f>
        <v>4605.9333333333334</v>
      </c>
      <c r="H21" s="28">
        <v>120000</v>
      </c>
      <c r="I21" s="29">
        <v>7</v>
      </c>
      <c r="J21" s="589">
        <f t="shared" ref="J21:J26" si="1">H21*I21</f>
        <v>840000</v>
      </c>
      <c r="K21" s="27">
        <f t="shared" ref="K21:K26" si="2">J21/75</f>
        <v>11200</v>
      </c>
    </row>
    <row r="22" spans="1:11" ht="31.5" customHeight="1" x14ac:dyDescent="0.2">
      <c r="A22" s="23"/>
      <c r="B22" s="24" t="s">
        <v>59</v>
      </c>
      <c r="C22" s="25"/>
      <c r="D22" s="26">
        <v>3670</v>
      </c>
      <c r="E22" s="27">
        <f>D22/75</f>
        <v>48.93333333333333</v>
      </c>
      <c r="F22" s="26">
        <v>11670</v>
      </c>
      <c r="G22" s="27">
        <f>F22/75</f>
        <v>155.6</v>
      </c>
      <c r="H22" s="28">
        <v>24000</v>
      </c>
      <c r="I22" s="29">
        <v>7</v>
      </c>
      <c r="J22" s="589">
        <f t="shared" si="1"/>
        <v>168000</v>
      </c>
      <c r="K22" s="27">
        <f t="shared" si="2"/>
        <v>2240</v>
      </c>
    </row>
    <row r="23" spans="1:11" ht="31.5" customHeight="1" x14ac:dyDescent="0.2">
      <c r="A23" s="23"/>
      <c r="B23" s="31" t="s">
        <v>60</v>
      </c>
      <c r="C23" s="25" t="s">
        <v>61</v>
      </c>
      <c r="D23" s="26">
        <v>131548</v>
      </c>
      <c r="E23" s="27">
        <f>D23/75</f>
        <v>1753.9733333333334</v>
      </c>
      <c r="F23" s="26">
        <v>181548</v>
      </c>
      <c r="G23" s="27">
        <f>F23/75</f>
        <v>2420.64</v>
      </c>
      <c r="H23" s="28">
        <v>50000</v>
      </c>
      <c r="I23" s="29">
        <v>7</v>
      </c>
      <c r="J23" s="589">
        <f t="shared" si="1"/>
        <v>350000</v>
      </c>
      <c r="K23" s="27">
        <f t="shared" si="2"/>
        <v>4666.666666666667</v>
      </c>
    </row>
    <row r="24" spans="1:11" ht="31.5" customHeight="1" x14ac:dyDescent="0.2">
      <c r="A24" s="23"/>
      <c r="B24" s="31" t="s">
        <v>62</v>
      </c>
      <c r="C24" s="25" t="s">
        <v>63</v>
      </c>
      <c r="D24" s="26">
        <v>6503</v>
      </c>
      <c r="E24" s="27">
        <f>D24/75</f>
        <v>86.706666666666663</v>
      </c>
      <c r="F24" s="26">
        <v>11503</v>
      </c>
      <c r="G24" s="27">
        <f>F24/75</f>
        <v>153.37333333333333</v>
      </c>
      <c r="H24" s="28">
        <v>5000</v>
      </c>
      <c r="I24" s="29">
        <v>36</v>
      </c>
      <c r="J24" s="589">
        <f t="shared" si="1"/>
        <v>180000</v>
      </c>
      <c r="K24" s="27">
        <f t="shared" si="2"/>
        <v>2400</v>
      </c>
    </row>
    <row r="25" spans="1:11" ht="15.75" customHeight="1" x14ac:dyDescent="0.2">
      <c r="A25" s="23"/>
      <c r="B25" s="31" t="s">
        <v>64</v>
      </c>
      <c r="C25" s="25"/>
      <c r="D25" s="26"/>
      <c r="E25" s="32"/>
      <c r="F25" s="33"/>
      <c r="G25" s="32"/>
      <c r="H25" s="28">
        <v>20000</v>
      </c>
      <c r="I25" s="29">
        <v>7</v>
      </c>
      <c r="J25" s="589">
        <f t="shared" si="1"/>
        <v>140000</v>
      </c>
      <c r="K25" s="50">
        <f t="shared" si="2"/>
        <v>1866.6666666666667</v>
      </c>
    </row>
    <row r="26" spans="1:11" ht="15.75" customHeight="1" x14ac:dyDescent="0.2">
      <c r="A26" s="23"/>
      <c r="B26" s="31" t="s">
        <v>65</v>
      </c>
      <c r="C26" s="25"/>
      <c r="D26" s="26">
        <v>225000</v>
      </c>
      <c r="E26" s="27">
        <f>D26/75</f>
        <v>3000</v>
      </c>
      <c r="F26" s="26">
        <v>450000</v>
      </c>
      <c r="G26" s="27">
        <f>F26/75</f>
        <v>6000</v>
      </c>
      <c r="H26" s="28">
        <v>806280</v>
      </c>
      <c r="I26" s="29">
        <v>1</v>
      </c>
      <c r="J26" s="589">
        <f t="shared" si="1"/>
        <v>806280</v>
      </c>
      <c r="K26" s="27">
        <f t="shared" si="2"/>
        <v>10750.4</v>
      </c>
    </row>
    <row r="27" spans="1:11" ht="15.75" customHeight="1" x14ac:dyDescent="0.2">
      <c r="A27" s="35"/>
      <c r="B27" s="692" t="s">
        <v>66</v>
      </c>
      <c r="C27" s="699"/>
      <c r="D27" s="37">
        <f>SUM(D20:D26)</f>
        <v>779166</v>
      </c>
      <c r="E27" s="52">
        <f>D27/75</f>
        <v>10388.879999999999</v>
      </c>
      <c r="F27" s="37">
        <f>SUM(F20:F26)</f>
        <v>1167166</v>
      </c>
      <c r="G27" s="52">
        <f>F27/75</f>
        <v>15562.213333333333</v>
      </c>
      <c r="H27" s="37"/>
      <c r="I27" s="36"/>
      <c r="J27" s="53">
        <f>SUM(J20:J26)</f>
        <v>3324280</v>
      </c>
      <c r="K27" s="39">
        <f>(J27/75)</f>
        <v>44323.73333333333</v>
      </c>
    </row>
    <row r="28" spans="1:11" ht="15.75" customHeight="1" x14ac:dyDescent="0.2">
      <c r="A28" s="54"/>
      <c r="B28" s="55"/>
      <c r="C28" s="56"/>
      <c r="D28" s="57"/>
      <c r="E28" s="58"/>
      <c r="F28" s="59"/>
      <c r="G28" s="58"/>
      <c r="H28" s="59"/>
      <c r="I28" s="60"/>
      <c r="J28" s="61"/>
      <c r="K28" s="62"/>
    </row>
    <row r="29" spans="1:11" ht="31.5" customHeight="1" x14ac:dyDescent="0.2">
      <c r="A29" s="20"/>
      <c r="B29" s="700" t="s">
        <v>67</v>
      </c>
      <c r="C29" s="701"/>
      <c r="D29" s="21" t="s">
        <v>39</v>
      </c>
      <c r="E29" s="21" t="s">
        <v>40</v>
      </c>
      <c r="F29" s="21" t="s">
        <v>39</v>
      </c>
      <c r="G29" s="21" t="s">
        <v>40</v>
      </c>
      <c r="H29" s="21" t="s">
        <v>41</v>
      </c>
      <c r="I29" s="21" t="s">
        <v>42</v>
      </c>
      <c r="J29" s="21" t="s">
        <v>39</v>
      </c>
      <c r="K29" s="22" t="s">
        <v>40</v>
      </c>
    </row>
    <row r="30" spans="1:11" ht="31.5" customHeight="1" x14ac:dyDescent="0.2">
      <c r="A30" s="23"/>
      <c r="B30" s="31" t="s">
        <v>68</v>
      </c>
      <c r="C30" s="25"/>
      <c r="D30" s="26"/>
      <c r="E30" s="32"/>
      <c r="F30" s="33"/>
      <c r="G30" s="32"/>
      <c r="H30" s="28">
        <v>40200</v>
      </c>
      <c r="I30" s="29">
        <v>3</v>
      </c>
      <c r="J30" s="589">
        <f>H30*I30</f>
        <v>120600</v>
      </c>
      <c r="K30" s="27">
        <f>J30/75</f>
        <v>1608</v>
      </c>
    </row>
    <row r="31" spans="1:11" ht="31.5" customHeight="1" x14ac:dyDescent="0.2">
      <c r="A31" s="23"/>
      <c r="B31" s="31" t="s">
        <v>69</v>
      </c>
      <c r="C31" s="25"/>
      <c r="D31" s="26"/>
      <c r="E31" s="32"/>
      <c r="F31" s="33"/>
      <c r="G31" s="32"/>
      <c r="H31" s="28">
        <v>8500</v>
      </c>
      <c r="I31" s="29">
        <v>4</v>
      </c>
      <c r="J31" s="589">
        <f>H31*I31</f>
        <v>34000</v>
      </c>
      <c r="K31" s="27">
        <f>J31/75</f>
        <v>453.33333333333331</v>
      </c>
    </row>
    <row r="32" spans="1:11" ht="15.75" customHeight="1" x14ac:dyDescent="0.2">
      <c r="A32" s="23"/>
      <c r="B32" s="31" t="s">
        <v>70</v>
      </c>
      <c r="C32" s="25"/>
      <c r="D32" s="26"/>
      <c r="E32" s="32"/>
      <c r="F32" s="33"/>
      <c r="G32" s="32"/>
      <c r="H32" s="28">
        <v>20000</v>
      </c>
      <c r="I32" s="29">
        <v>7</v>
      </c>
      <c r="J32" s="589">
        <f>H32*I32</f>
        <v>140000</v>
      </c>
      <c r="K32" s="27">
        <f>J32/75</f>
        <v>1866.6666666666667</v>
      </c>
    </row>
    <row r="33" spans="1:11" ht="31.5" customHeight="1" x14ac:dyDescent="0.2">
      <c r="A33" s="23"/>
      <c r="B33" s="31" t="s">
        <v>71</v>
      </c>
      <c r="C33" s="25"/>
      <c r="D33" s="26"/>
      <c r="E33" s="32"/>
      <c r="F33" s="33"/>
      <c r="G33" s="32"/>
      <c r="H33" s="28">
        <v>30000</v>
      </c>
      <c r="I33" s="29">
        <v>7</v>
      </c>
      <c r="J33" s="589">
        <f>H33*I33</f>
        <v>210000</v>
      </c>
      <c r="K33" s="27">
        <f>J33/75</f>
        <v>2800</v>
      </c>
    </row>
    <row r="34" spans="1:11" ht="15.75" customHeight="1" x14ac:dyDescent="0.2">
      <c r="A34" s="35"/>
      <c r="B34" s="692" t="s">
        <v>72</v>
      </c>
      <c r="C34" s="699"/>
      <c r="D34" s="37"/>
      <c r="E34" s="53"/>
      <c r="F34" s="53"/>
      <c r="G34" s="53"/>
      <c r="H34" s="53"/>
      <c r="I34" s="36"/>
      <c r="J34" s="53">
        <f>SUM(J30:J33)</f>
        <v>504600</v>
      </c>
      <c r="K34" s="39">
        <f>(J34/75)</f>
        <v>6728</v>
      </c>
    </row>
    <row r="35" spans="1:11" ht="15.75" customHeight="1" x14ac:dyDescent="0.2">
      <c r="A35" s="54"/>
      <c r="B35" s="55"/>
      <c r="C35" s="56"/>
      <c r="D35" s="57"/>
      <c r="E35" s="58"/>
      <c r="F35" s="59"/>
      <c r="G35" s="58"/>
      <c r="H35" s="59"/>
      <c r="I35" s="60"/>
      <c r="J35" s="61"/>
      <c r="K35" s="63"/>
    </row>
    <row r="36" spans="1:11" ht="31.5" customHeight="1" x14ac:dyDescent="0.2">
      <c r="A36" s="20"/>
      <c r="B36" s="700" t="s">
        <v>73</v>
      </c>
      <c r="C36" s="701"/>
      <c r="D36" s="21" t="s">
        <v>39</v>
      </c>
      <c r="E36" s="21" t="s">
        <v>40</v>
      </c>
      <c r="F36" s="21" t="s">
        <v>39</v>
      </c>
      <c r="G36" s="21" t="s">
        <v>40</v>
      </c>
      <c r="H36" s="21" t="s">
        <v>41</v>
      </c>
      <c r="I36" s="21" t="s">
        <v>42</v>
      </c>
      <c r="J36" s="21" t="s">
        <v>39</v>
      </c>
      <c r="K36" s="22" t="s">
        <v>40</v>
      </c>
    </row>
    <row r="37" spans="1:11" x14ac:dyDescent="0.2">
      <c r="A37" s="23"/>
      <c r="B37" s="24" t="s">
        <v>74</v>
      </c>
      <c r="C37" s="25" t="s">
        <v>75</v>
      </c>
      <c r="D37" s="26">
        <v>5000</v>
      </c>
      <c r="E37" s="27">
        <f>D37/75</f>
        <v>66.666666666666671</v>
      </c>
      <c r="F37" s="26">
        <v>20000</v>
      </c>
      <c r="G37" s="27">
        <f>F37/75</f>
        <v>266.66666666666669</v>
      </c>
      <c r="H37" s="28">
        <v>10000</v>
      </c>
      <c r="I37" s="29">
        <v>12</v>
      </c>
      <c r="J37" s="589">
        <f>H37*I37</f>
        <v>120000</v>
      </c>
      <c r="K37" s="27">
        <f>J37/75</f>
        <v>1600</v>
      </c>
    </row>
    <row r="38" spans="1:11" ht="47.25" customHeight="1" x14ac:dyDescent="0.2">
      <c r="A38" s="23"/>
      <c r="B38" s="31" t="s">
        <v>76</v>
      </c>
      <c r="C38" s="49" t="s">
        <v>77</v>
      </c>
      <c r="D38" s="26">
        <v>400294</v>
      </c>
      <c r="E38" s="27">
        <f>D38/75</f>
        <v>5337.2533333333331</v>
      </c>
      <c r="F38" s="26">
        <v>400294</v>
      </c>
      <c r="G38" s="27">
        <f>F38/75</f>
        <v>5337.2533333333331</v>
      </c>
      <c r="H38" s="28">
        <v>75000</v>
      </c>
      <c r="I38" s="29">
        <v>3</v>
      </c>
      <c r="J38" s="589">
        <f>H38*I38</f>
        <v>225000</v>
      </c>
      <c r="K38" s="27">
        <f>J38/75</f>
        <v>3000</v>
      </c>
    </row>
    <row r="39" spans="1:11" ht="31.5" customHeight="1" x14ac:dyDescent="0.2">
      <c r="A39" s="23"/>
      <c r="B39" s="31" t="s">
        <v>78</v>
      </c>
      <c r="C39" s="25"/>
      <c r="D39" s="26"/>
      <c r="E39" s="32"/>
      <c r="F39" s="33"/>
      <c r="G39" s="32"/>
      <c r="H39" s="28">
        <v>22500</v>
      </c>
      <c r="I39" s="29">
        <v>3</v>
      </c>
      <c r="J39" s="589">
        <f>H39*I39</f>
        <v>67500</v>
      </c>
      <c r="K39" s="27">
        <f>J39/75</f>
        <v>900</v>
      </c>
    </row>
    <row r="40" spans="1:11" ht="15.75" customHeight="1" x14ac:dyDescent="0.2">
      <c r="A40" s="23"/>
      <c r="B40" s="24" t="s">
        <v>79</v>
      </c>
      <c r="C40" s="25"/>
      <c r="D40" s="26"/>
      <c r="E40" s="32"/>
      <c r="F40" s="33"/>
      <c r="G40" s="32"/>
      <c r="H40" s="28"/>
      <c r="I40" s="29"/>
      <c r="J40" s="590"/>
      <c r="K40" s="64"/>
    </row>
    <row r="41" spans="1:11" ht="15.75" customHeight="1" x14ac:dyDescent="0.2">
      <c r="A41" s="23"/>
      <c r="B41" s="24" t="s">
        <v>80</v>
      </c>
      <c r="C41" s="25" t="s">
        <v>81</v>
      </c>
      <c r="D41" s="26">
        <v>230400</v>
      </c>
      <c r="E41" s="27">
        <f>D41/75</f>
        <v>3072</v>
      </c>
      <c r="F41" s="26">
        <v>300000</v>
      </c>
      <c r="G41" s="27">
        <f>F41/75</f>
        <v>4000</v>
      </c>
      <c r="H41" s="28">
        <v>30000</v>
      </c>
      <c r="I41" s="29">
        <v>11</v>
      </c>
      <c r="J41" s="589">
        <f>H41*I41</f>
        <v>330000</v>
      </c>
      <c r="K41" s="27">
        <f>J41/75</f>
        <v>4400</v>
      </c>
    </row>
    <row r="42" spans="1:11" ht="31.5" customHeight="1" x14ac:dyDescent="0.2">
      <c r="A42" s="23"/>
      <c r="B42" s="24" t="s">
        <v>82</v>
      </c>
      <c r="C42" s="49" t="s">
        <v>83</v>
      </c>
      <c r="D42" s="26">
        <v>572394</v>
      </c>
      <c r="E42" s="27">
        <f>D42/75</f>
        <v>7631.92</v>
      </c>
      <c r="F42" s="26">
        <v>572394</v>
      </c>
      <c r="G42" s="27">
        <f>F42/75</f>
        <v>7631.92</v>
      </c>
      <c r="H42" s="28">
        <v>1150000</v>
      </c>
      <c r="I42" s="29">
        <v>1</v>
      </c>
      <c r="J42" s="589">
        <f>H42*I42</f>
        <v>1150000</v>
      </c>
      <c r="K42" s="27">
        <f>J42/75</f>
        <v>15333.333333333334</v>
      </c>
    </row>
    <row r="43" spans="1:11" ht="78.75" customHeight="1" x14ac:dyDescent="0.2">
      <c r="A43" s="23"/>
      <c r="B43" s="24" t="s">
        <v>84</v>
      </c>
      <c r="C43" s="49" t="s">
        <v>85</v>
      </c>
      <c r="D43" s="26">
        <v>275000</v>
      </c>
      <c r="E43" s="27">
        <f>D43/75</f>
        <v>3666.6666666666665</v>
      </c>
      <c r="F43" s="26">
        <v>275000</v>
      </c>
      <c r="G43" s="27">
        <f>F43/75</f>
        <v>3666.6666666666665</v>
      </c>
      <c r="H43" s="33"/>
      <c r="I43" s="29"/>
      <c r="J43" s="590"/>
      <c r="K43" s="64"/>
    </row>
    <row r="44" spans="1:11" ht="15.75" customHeight="1" x14ac:dyDescent="0.2">
      <c r="A44" s="23"/>
      <c r="B44" s="31" t="s">
        <v>86</v>
      </c>
      <c r="C44" s="25"/>
      <c r="D44" s="26">
        <v>663887.25</v>
      </c>
      <c r="E44" s="27">
        <f>D44/75</f>
        <v>8851.83</v>
      </c>
      <c r="F44" s="26">
        <v>869851.5</v>
      </c>
      <c r="G44" s="27">
        <f>F44/75</f>
        <v>11598.02</v>
      </c>
      <c r="H44" s="28">
        <v>332640</v>
      </c>
      <c r="I44" s="29">
        <v>1</v>
      </c>
      <c r="J44" s="589">
        <f>H44*I44</f>
        <v>332640</v>
      </c>
      <c r="K44" s="27">
        <f>J44/75</f>
        <v>4435.2</v>
      </c>
    </row>
    <row r="45" spans="1:11" ht="15.75" customHeight="1" x14ac:dyDescent="0.2">
      <c r="A45" s="35"/>
      <c r="B45" s="692" t="s">
        <v>87</v>
      </c>
      <c r="C45" s="699"/>
      <c r="D45" s="37">
        <f>SUM(D37:D44)</f>
        <v>2146975.25</v>
      </c>
      <c r="E45" s="52">
        <f>D45/75</f>
        <v>28626.336666666666</v>
      </c>
      <c r="F45" s="37">
        <f>SUM(F37:F44)</f>
        <v>2437539.5</v>
      </c>
      <c r="G45" s="52">
        <f>F45/75</f>
        <v>32500.526666666668</v>
      </c>
      <c r="H45" s="65"/>
      <c r="I45" s="66"/>
      <c r="J45" s="53">
        <f>SUM(J36:J44)</f>
        <v>2225140</v>
      </c>
      <c r="K45" s="39">
        <f>(J45/75)</f>
        <v>29668.533333333333</v>
      </c>
    </row>
    <row r="46" spans="1:11" ht="15.75" customHeight="1" x14ac:dyDescent="0.2">
      <c r="A46" s="54"/>
      <c r="B46" s="67"/>
      <c r="C46" s="68"/>
      <c r="D46" s="69"/>
      <c r="E46" s="70"/>
      <c r="F46" s="71"/>
      <c r="G46" s="70"/>
      <c r="H46" s="71"/>
      <c r="I46" s="29"/>
      <c r="J46" s="72"/>
      <c r="K46" s="63"/>
    </row>
    <row r="47" spans="1:11" ht="31.5" customHeight="1" x14ac:dyDescent="0.2">
      <c r="A47" s="20"/>
      <c r="B47" s="700" t="s">
        <v>88</v>
      </c>
      <c r="C47" s="701"/>
      <c r="D47" s="21" t="s">
        <v>39</v>
      </c>
      <c r="E47" s="21" t="s">
        <v>40</v>
      </c>
      <c r="F47" s="21" t="s">
        <v>39</v>
      </c>
      <c r="G47" s="21" t="s">
        <v>40</v>
      </c>
      <c r="H47" s="21" t="s">
        <v>41</v>
      </c>
      <c r="I47" s="21" t="s">
        <v>42</v>
      </c>
      <c r="J47" s="21" t="s">
        <v>39</v>
      </c>
      <c r="K47" s="22" t="s">
        <v>40</v>
      </c>
    </row>
    <row r="48" spans="1:11" ht="15.75" customHeight="1" x14ac:dyDescent="0.2">
      <c r="A48" s="73"/>
      <c r="B48" s="74" t="s">
        <v>89</v>
      </c>
      <c r="C48" s="19"/>
      <c r="D48" s="75">
        <v>1866683.25</v>
      </c>
      <c r="E48" s="76">
        <f>D48/75</f>
        <v>24889.11</v>
      </c>
      <c r="F48" s="75">
        <v>1866683.25</v>
      </c>
      <c r="G48" s="76">
        <f>F48/75</f>
        <v>24889.11</v>
      </c>
      <c r="H48" s="77"/>
      <c r="I48" s="29"/>
      <c r="J48" s="589">
        <f>SUM(J17,J27,J34,J45)*0.15</f>
        <v>1289895</v>
      </c>
      <c r="K48" s="27">
        <f>J48/75</f>
        <v>17198.599999999999</v>
      </c>
    </row>
    <row r="49" spans="1:11" ht="15.75" customHeight="1" x14ac:dyDescent="0.2">
      <c r="A49" s="35"/>
      <c r="B49" s="692" t="s">
        <v>90</v>
      </c>
      <c r="C49" s="701"/>
      <c r="D49" s="37">
        <v>1866683.25</v>
      </c>
      <c r="E49" s="52">
        <f>D49/75</f>
        <v>24889.11</v>
      </c>
      <c r="F49" s="37">
        <v>1866683.25</v>
      </c>
      <c r="G49" s="52">
        <f>F49/75</f>
        <v>24889.11</v>
      </c>
      <c r="H49" s="37"/>
      <c r="I49" s="36"/>
      <c r="J49" s="37">
        <f>SUM(J48:J48)</f>
        <v>1289895</v>
      </c>
      <c r="K49" s="39">
        <f>(J49/75)</f>
        <v>17198.599999999999</v>
      </c>
    </row>
    <row r="50" spans="1:11" ht="15.75" customHeight="1" x14ac:dyDescent="0.2">
      <c r="A50" s="40"/>
      <c r="B50" s="41"/>
      <c r="C50" s="42"/>
      <c r="D50" s="78"/>
      <c r="E50" s="76"/>
      <c r="F50" s="43"/>
      <c r="G50" s="44"/>
      <c r="H50" s="78"/>
      <c r="I50" s="79"/>
      <c r="J50" s="80"/>
      <c r="K50" s="81"/>
    </row>
    <row r="51" spans="1:11" ht="31.5" customHeight="1" x14ac:dyDescent="0.2">
      <c r="A51" s="20"/>
      <c r="B51" s="700" t="s">
        <v>91</v>
      </c>
      <c r="C51" s="701"/>
      <c r="D51" s="21" t="s">
        <v>39</v>
      </c>
      <c r="E51" s="21" t="s">
        <v>40</v>
      </c>
      <c r="F51" s="21" t="s">
        <v>39</v>
      </c>
      <c r="G51" s="21" t="s">
        <v>40</v>
      </c>
      <c r="H51" s="21" t="s">
        <v>41</v>
      </c>
      <c r="I51" s="21" t="s">
        <v>42</v>
      </c>
      <c r="J51" s="21" t="s">
        <v>39</v>
      </c>
      <c r="K51" s="22" t="s">
        <v>40</v>
      </c>
    </row>
    <row r="52" spans="1:11" ht="31.5" customHeight="1" x14ac:dyDescent="0.2">
      <c r="A52" s="82"/>
      <c r="B52" s="83" t="s">
        <v>92</v>
      </c>
      <c r="C52" s="56"/>
      <c r="D52" s="84">
        <f>SUM(D17,D27,D34,D45,D49)*0.1</f>
        <v>535378.45000000007</v>
      </c>
      <c r="E52" s="27">
        <f>D52/75</f>
        <v>7138.3793333333342</v>
      </c>
      <c r="F52" s="84">
        <f>SUM(F17,F27,F34,F45,F49)*0.1</f>
        <v>641176.19500000007</v>
      </c>
      <c r="G52" s="27">
        <f>F52/75</f>
        <v>8549.015933333334</v>
      </c>
      <c r="H52" s="84"/>
      <c r="I52" s="79"/>
      <c r="J52" s="84">
        <f>SUM(J17,J27,J34,J45,J49)*0.1</f>
        <v>988919.5</v>
      </c>
      <c r="K52" s="27">
        <f>J52/75</f>
        <v>13185.593333333334</v>
      </c>
    </row>
    <row r="53" spans="1:11" x14ac:dyDescent="0.2">
      <c r="A53" s="85"/>
      <c r="B53" s="692" t="s">
        <v>93</v>
      </c>
      <c r="C53" s="693"/>
      <c r="D53" s="37">
        <f>SUM(D52)</f>
        <v>535378.45000000007</v>
      </c>
      <c r="E53" s="52">
        <f>D53/75</f>
        <v>7138.3793333333342</v>
      </c>
      <c r="F53" s="37">
        <f>SUM(F52)</f>
        <v>641176.19500000007</v>
      </c>
      <c r="G53" s="52">
        <f>F53/75</f>
        <v>8549.015933333334</v>
      </c>
      <c r="H53" s="53"/>
      <c r="I53" s="36"/>
      <c r="J53" s="37">
        <f>SUM(J52)</f>
        <v>988919.5</v>
      </c>
      <c r="K53" s="87">
        <f>J53/75</f>
        <v>13185.593333333334</v>
      </c>
    </row>
    <row r="54" spans="1:11" ht="16" thickBot="1" x14ac:dyDescent="0.25">
      <c r="A54" s="88"/>
      <c r="B54" s="24"/>
      <c r="C54" s="25"/>
      <c r="D54" s="34"/>
      <c r="E54" s="32"/>
      <c r="F54" s="33"/>
      <c r="G54" s="32"/>
      <c r="H54" s="33"/>
      <c r="I54" s="89"/>
      <c r="J54" s="90"/>
      <c r="K54" s="19"/>
    </row>
    <row r="55" spans="1:11" ht="31.5" customHeight="1" thickBot="1" x14ac:dyDescent="0.25">
      <c r="A55" s="91"/>
      <c r="B55" s="694" t="s">
        <v>94</v>
      </c>
      <c r="C55" s="694"/>
      <c r="D55" s="92">
        <f>SUM(D17,D27,D34,D45,D49,D53)</f>
        <v>5889162.9500000002</v>
      </c>
      <c r="E55" s="93">
        <f>D55/75</f>
        <v>78522.172666666665</v>
      </c>
      <c r="F55" s="92">
        <f>SUM(F17,F27,F34,F45,F49,F53)</f>
        <v>7052938.1450000005</v>
      </c>
      <c r="G55" s="93">
        <f>F55/75</f>
        <v>94039.175266666673</v>
      </c>
      <c r="H55" s="94"/>
      <c r="I55" s="95"/>
      <c r="J55" s="96">
        <f>SUM(J17,J27,J34,J45,J49,J53)</f>
        <v>10878114.5</v>
      </c>
      <c r="K55" s="97">
        <f>J55/75</f>
        <v>145041.52666666667</v>
      </c>
    </row>
    <row r="57" spans="1:11" x14ac:dyDescent="0.2">
      <c r="A57" s="695" t="s">
        <v>95</v>
      </c>
      <c r="B57" s="696"/>
      <c r="C57" s="696"/>
      <c r="D57" s="697"/>
      <c r="E57" s="697"/>
      <c r="F57" s="697"/>
      <c r="G57" s="697"/>
      <c r="H57" s="697"/>
      <c r="I57" s="697"/>
      <c r="J57" s="697"/>
      <c r="K57" s="697"/>
    </row>
    <row r="58" spans="1:11" x14ac:dyDescent="0.2">
      <c r="A58" s="698"/>
      <c r="B58" s="696"/>
      <c r="C58" s="696"/>
      <c r="D58" s="697"/>
      <c r="E58" s="697"/>
      <c r="F58" s="697"/>
      <c r="G58" s="697"/>
      <c r="H58" s="697"/>
      <c r="I58" s="697"/>
      <c r="J58" s="697"/>
      <c r="K58" s="697"/>
    </row>
  </sheetData>
  <mergeCells count="25">
    <mergeCell ref="B29:C29"/>
    <mergeCell ref="A1:K1"/>
    <mergeCell ref="B2:J2"/>
    <mergeCell ref="B3:J3"/>
    <mergeCell ref="B4:J4"/>
    <mergeCell ref="B5:J5"/>
    <mergeCell ref="A6:A7"/>
    <mergeCell ref="B6:B7"/>
    <mergeCell ref="C6:C7"/>
    <mergeCell ref="D6:E7"/>
    <mergeCell ref="F6:G7"/>
    <mergeCell ref="H6:K7"/>
    <mergeCell ref="B9:C9"/>
    <mergeCell ref="B17:C17"/>
    <mergeCell ref="B19:C19"/>
    <mergeCell ref="B27:C27"/>
    <mergeCell ref="B53:C53"/>
    <mergeCell ref="B55:C55"/>
    <mergeCell ref="A57:K58"/>
    <mergeCell ref="B34:C34"/>
    <mergeCell ref="B36:C36"/>
    <mergeCell ref="B45:C45"/>
    <mergeCell ref="B47:C47"/>
    <mergeCell ref="B49:C49"/>
    <mergeCell ref="B51:C51"/>
  </mergeCells>
  <pageMargins left="0.7" right="0.7" top="0.75" bottom="0.75" header="0.3" footer="0.3"/>
  <pageSetup scale="4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10D64-3A43-054D-B21A-B36DA4130143}">
  <dimension ref="B1:N164"/>
  <sheetViews>
    <sheetView zoomScale="163" workbookViewId="0">
      <pane xSplit="4" ySplit="3" topLeftCell="E19" activePane="bottomRight" state="frozen"/>
      <selection activeCell="G26" sqref="G26"/>
      <selection pane="topRight" activeCell="G26" sqref="G26"/>
      <selection pane="bottomLeft" activeCell="G26" sqref="G26"/>
      <selection pane="bottomRight" activeCell="G26" sqref="G26"/>
    </sheetView>
  </sheetViews>
  <sheetFormatPr baseColWidth="10" defaultColWidth="10.83203125" defaultRowHeight="16" outlineLevelCol="1" x14ac:dyDescent="0.2"/>
  <cols>
    <col min="1" max="1" width="3" customWidth="1"/>
    <col min="2" max="2" width="4.1640625" customWidth="1"/>
    <col min="3" max="3" width="3.33203125" customWidth="1"/>
    <col min="4" max="4" width="41.83203125" customWidth="1"/>
    <col min="5" max="5" width="11.1640625" bestFit="1" customWidth="1"/>
    <col min="6" max="6" width="11.5" style="119" bestFit="1" customWidth="1"/>
    <col min="7" max="7" width="3.5" customWidth="1"/>
    <col min="8" max="8" width="14" bestFit="1" customWidth="1"/>
    <col min="9" max="9" width="11.5" bestFit="1" customWidth="1"/>
    <col min="10" max="10" width="3.33203125" hidden="1" customWidth="1" outlineLevel="1"/>
    <col min="11" max="11" width="9.1640625" hidden="1" customWidth="1" outlineLevel="1"/>
    <col min="12" max="12" width="9.83203125" hidden="1" customWidth="1" outlineLevel="1"/>
    <col min="13" max="13" width="3.33203125" customWidth="1" collapsed="1"/>
    <col min="14" max="14" width="55.83203125" customWidth="1"/>
  </cols>
  <sheetData>
    <row r="1" spans="2:14" x14ac:dyDescent="0.2">
      <c r="D1" s="505" t="s">
        <v>23</v>
      </c>
    </row>
    <row r="2" spans="2:14" s="3" customFormat="1" x14ac:dyDescent="0.2">
      <c r="D2" s="506" t="s">
        <v>23</v>
      </c>
      <c r="E2" s="691" t="s">
        <v>130</v>
      </c>
      <c r="F2" s="691"/>
      <c r="H2" s="691">
        <v>2024</v>
      </c>
      <c r="I2" s="691"/>
      <c r="J2" s="4"/>
      <c r="K2" s="4"/>
      <c r="L2" s="4"/>
    </row>
    <row r="3" spans="2:14" s="3" customFormat="1" x14ac:dyDescent="0.2">
      <c r="E3" s="323" t="s">
        <v>39</v>
      </c>
      <c r="F3" s="353" t="s">
        <v>40</v>
      </c>
      <c r="H3" s="323" t="s">
        <v>39</v>
      </c>
      <c r="I3" s="323" t="s">
        <v>40</v>
      </c>
      <c r="J3" s="4"/>
      <c r="K3" s="4" t="s">
        <v>151</v>
      </c>
      <c r="L3" s="4" t="s">
        <v>152</v>
      </c>
      <c r="N3" s="3" t="s">
        <v>138</v>
      </c>
    </row>
    <row r="4" spans="2:14" x14ac:dyDescent="0.2">
      <c r="B4" s="107"/>
      <c r="C4" s="107"/>
      <c r="D4" s="107"/>
      <c r="E4" s="112"/>
      <c r="F4" s="117"/>
      <c r="G4" s="107"/>
      <c r="H4" s="112"/>
      <c r="I4" s="112"/>
      <c r="J4" s="112"/>
      <c r="K4" s="112"/>
      <c r="L4" s="112"/>
      <c r="M4" s="107"/>
      <c r="N4" s="107"/>
    </row>
    <row r="5" spans="2:14" x14ac:dyDescent="0.2">
      <c r="C5" t="s">
        <v>119</v>
      </c>
      <c r="E5" s="101"/>
      <c r="F5" s="118"/>
      <c r="G5" s="101"/>
      <c r="H5" s="101"/>
      <c r="I5" s="101"/>
      <c r="J5" s="101"/>
      <c r="K5" s="101"/>
      <c r="L5" s="101"/>
      <c r="M5" s="101"/>
      <c r="N5" s="101"/>
    </row>
    <row r="6" spans="2:14" x14ac:dyDescent="0.2">
      <c r="D6" t="s">
        <v>127</v>
      </c>
      <c r="E6" s="113">
        <v>3069057</v>
      </c>
      <c r="F6" s="121">
        <f>E6/rate</f>
        <v>38363.212500000001</v>
      </c>
      <c r="G6" s="101"/>
      <c r="H6" s="113">
        <v>3040800</v>
      </c>
      <c r="I6" s="121">
        <f>H6/rate</f>
        <v>38010</v>
      </c>
      <c r="J6" s="121"/>
      <c r="K6" s="121">
        <f>I6-F6</f>
        <v>-353.21250000000146</v>
      </c>
      <c r="L6" s="123">
        <f>I6/F6-1</f>
        <v>-9.2070626254253662E-3</v>
      </c>
      <c r="M6" s="101"/>
      <c r="N6" s="101" t="s">
        <v>480</v>
      </c>
    </row>
    <row r="7" spans="2:14" x14ac:dyDescent="0.2">
      <c r="D7" t="s">
        <v>128</v>
      </c>
      <c r="E7" s="113">
        <v>116093</v>
      </c>
      <c r="F7" s="121">
        <f>E7/rate</f>
        <v>1451.1624999999999</v>
      </c>
      <c r="G7" s="101"/>
      <c r="H7" s="113">
        <v>234375</v>
      </c>
      <c r="I7" s="121">
        <f>H7/rate</f>
        <v>2929.6875</v>
      </c>
      <c r="J7" s="121"/>
      <c r="K7" s="121">
        <f>I7-F7</f>
        <v>1478.5250000000001</v>
      </c>
      <c r="L7" s="123">
        <f>I7/F7-1</f>
        <v>1.0188555726874147</v>
      </c>
      <c r="M7" s="101"/>
      <c r="N7" s="101" t="s">
        <v>148</v>
      </c>
    </row>
    <row r="8" spans="2:14" x14ac:dyDescent="0.2">
      <c r="D8" t="s">
        <v>129</v>
      </c>
      <c r="E8" s="116">
        <v>0</v>
      </c>
      <c r="F8" s="121">
        <f>E8/rate</f>
        <v>0</v>
      </c>
      <c r="G8" s="101"/>
      <c r="H8" s="116">
        <v>45000</v>
      </c>
      <c r="I8" s="121">
        <f>H8/rate</f>
        <v>562.5</v>
      </c>
      <c r="J8" s="121"/>
      <c r="K8" s="121">
        <f>I8-F8</f>
        <v>562.5</v>
      </c>
      <c r="L8" s="124" t="s">
        <v>153</v>
      </c>
      <c r="M8" s="101"/>
      <c r="N8" s="101"/>
    </row>
    <row r="9" spans="2:14" x14ac:dyDescent="0.2">
      <c r="C9" t="s">
        <v>131</v>
      </c>
      <c r="D9" s="107"/>
      <c r="E9" s="114">
        <f>SUM(E6:E8)</f>
        <v>3185150</v>
      </c>
      <c r="F9" s="122">
        <f>SUM(F6:F8)</f>
        <v>39814.375</v>
      </c>
      <c r="G9" s="108"/>
      <c r="H9" s="114">
        <f>SUM(H6:H8)</f>
        <v>3320175</v>
      </c>
      <c r="I9" s="122">
        <f>SUM(I6:I8)</f>
        <v>41502.1875</v>
      </c>
      <c r="J9" s="122"/>
      <c r="K9" s="122">
        <f>I9-F9</f>
        <v>1687.8125</v>
      </c>
      <c r="L9" s="125">
        <f>I9/F9-1</f>
        <v>4.2392038051583203E-2</v>
      </c>
      <c r="M9" s="101"/>
      <c r="N9" s="101"/>
    </row>
    <row r="10" spans="2:14" x14ac:dyDescent="0.2">
      <c r="E10" s="115"/>
      <c r="F10" s="121"/>
      <c r="G10" s="101"/>
      <c r="H10" s="101"/>
      <c r="I10" s="121"/>
      <c r="J10" s="121"/>
      <c r="K10" s="121"/>
      <c r="L10" s="121"/>
      <c r="M10" s="101"/>
      <c r="N10" s="101"/>
    </row>
    <row r="11" spans="2:14" x14ac:dyDescent="0.2">
      <c r="C11" t="s">
        <v>481</v>
      </c>
      <c r="E11" s="115" t="s">
        <v>23</v>
      </c>
      <c r="F11" s="121"/>
      <c r="G11" s="101"/>
      <c r="H11" s="101"/>
      <c r="I11" s="121"/>
      <c r="J11" s="121"/>
      <c r="K11" s="121"/>
      <c r="L11" s="121"/>
      <c r="M11" s="101"/>
      <c r="N11" s="101"/>
    </row>
    <row r="12" spans="2:14" x14ac:dyDescent="0.2">
      <c r="D12" t="s">
        <v>402</v>
      </c>
      <c r="E12" s="113">
        <v>77868</v>
      </c>
      <c r="F12" s="121">
        <f>E12/rate</f>
        <v>973.35</v>
      </c>
      <c r="G12" s="101"/>
      <c r="H12" s="113">
        <v>82500</v>
      </c>
      <c r="I12" s="121">
        <f>H12/rate</f>
        <v>1031.25</v>
      </c>
      <c r="J12" s="121"/>
      <c r="K12" s="121">
        <f>I12-F12</f>
        <v>57.899999999999977</v>
      </c>
      <c r="L12" s="123">
        <f>I12/F12-1</f>
        <v>5.9485282786253535E-2</v>
      </c>
      <c r="M12" s="101"/>
      <c r="N12" s="101" t="s">
        <v>482</v>
      </c>
    </row>
    <row r="13" spans="2:14" x14ac:dyDescent="0.2">
      <c r="D13" t="s">
        <v>379</v>
      </c>
      <c r="E13" s="113">
        <v>219599.64</v>
      </c>
      <c r="F13" s="121">
        <f>E13/rate</f>
        <v>2744.9955</v>
      </c>
      <c r="G13" s="101"/>
      <c r="H13" s="113">
        <v>220000</v>
      </c>
      <c r="I13" s="121">
        <f>H13/rate</f>
        <v>2750</v>
      </c>
      <c r="J13" s="121"/>
      <c r="K13" s="121">
        <f>I13-F13</f>
        <v>5.0045000000000073</v>
      </c>
      <c r="L13" s="123">
        <f>I13/F13-1</f>
        <v>1.8231359577820516E-3</v>
      </c>
      <c r="M13" s="101"/>
      <c r="N13" s="101" t="s">
        <v>23</v>
      </c>
    </row>
    <row r="14" spans="2:14" x14ac:dyDescent="0.2">
      <c r="D14" t="s">
        <v>483</v>
      </c>
      <c r="E14" s="113">
        <v>145170</v>
      </c>
      <c r="F14" s="121">
        <f>E14/rate</f>
        <v>1814.625</v>
      </c>
      <c r="G14" s="101"/>
      <c r="H14" s="113">
        <v>75000</v>
      </c>
      <c r="I14" s="121">
        <f>H14/rate</f>
        <v>937.5</v>
      </c>
      <c r="J14" s="121"/>
      <c r="K14" s="121">
        <f>I14-F14</f>
        <v>-877.125</v>
      </c>
      <c r="L14" s="124" t="s">
        <v>153</v>
      </c>
      <c r="M14" s="101"/>
      <c r="N14" s="101" t="s">
        <v>484</v>
      </c>
    </row>
    <row r="15" spans="2:14" x14ac:dyDescent="0.2">
      <c r="D15" t="s">
        <v>461</v>
      </c>
      <c r="E15" s="113">
        <v>23400</v>
      </c>
      <c r="F15" s="121">
        <f>E15/rate</f>
        <v>292.5</v>
      </c>
      <c r="G15" s="101"/>
      <c r="H15" s="113">
        <v>25000</v>
      </c>
      <c r="I15" s="121">
        <f>H15/rate</f>
        <v>312.5</v>
      </c>
      <c r="J15" s="121"/>
      <c r="K15" s="121">
        <f>I15-F15</f>
        <v>20</v>
      </c>
      <c r="L15" s="123">
        <f>I15/F15-1</f>
        <v>6.8376068376068355E-2</v>
      </c>
      <c r="M15" s="101"/>
      <c r="N15" s="101" t="s">
        <v>485</v>
      </c>
    </row>
    <row r="16" spans="2:14" x14ac:dyDescent="0.2">
      <c r="D16" s="107"/>
      <c r="E16" s="114">
        <f>SUM(E12:E15)</f>
        <v>466037.64</v>
      </c>
      <c r="F16" s="122">
        <f>SUM(F12:F15)</f>
        <v>5825.4704999999994</v>
      </c>
      <c r="G16" s="108"/>
      <c r="H16" s="114">
        <f>SUM(H12:H15)</f>
        <v>402500</v>
      </c>
      <c r="I16" s="122">
        <f>SUM(I12:I15)</f>
        <v>5031.25</v>
      </c>
      <c r="J16" s="114"/>
      <c r="K16" s="122">
        <f>I16-F16</f>
        <v>-794.22049999999945</v>
      </c>
      <c r="L16" s="125">
        <f>I16/F16-1</f>
        <v>-0.13633585476057253</v>
      </c>
      <c r="M16" s="101"/>
      <c r="N16" s="101"/>
    </row>
    <row r="17" spans="3:14" x14ac:dyDescent="0.2">
      <c r="E17" s="115"/>
      <c r="F17" s="118"/>
      <c r="G17" s="101"/>
      <c r="H17" s="101"/>
      <c r="I17" s="101"/>
      <c r="J17" s="101"/>
      <c r="K17" s="101"/>
      <c r="L17" s="101"/>
      <c r="M17" s="101"/>
      <c r="N17" s="101"/>
    </row>
    <row r="18" spans="3:14" x14ac:dyDescent="0.2">
      <c r="C18" t="s">
        <v>486</v>
      </c>
      <c r="E18" s="115"/>
      <c r="F18" s="118"/>
      <c r="G18" s="101"/>
      <c r="H18" s="101"/>
      <c r="I18" s="101"/>
      <c r="J18" s="101"/>
      <c r="K18" s="101"/>
      <c r="L18" s="101"/>
      <c r="M18" s="101"/>
      <c r="N18" s="101"/>
    </row>
    <row r="19" spans="3:14" x14ac:dyDescent="0.2">
      <c r="D19" t="s">
        <v>464</v>
      </c>
      <c r="E19" s="113">
        <v>719145</v>
      </c>
      <c r="F19" s="121">
        <f t="shared" ref="F19:F24" si="0">E19/rate</f>
        <v>8989.3125</v>
      </c>
      <c r="G19" s="101"/>
      <c r="H19" s="113">
        <v>37500</v>
      </c>
      <c r="I19" s="121">
        <f t="shared" ref="I19:I24" si="1">H19/rate</f>
        <v>468.75</v>
      </c>
      <c r="J19" s="101"/>
      <c r="K19" s="101"/>
      <c r="L19" s="101"/>
      <c r="M19" s="101"/>
      <c r="N19" s="101"/>
    </row>
    <row r="20" spans="3:14" x14ac:dyDescent="0.2">
      <c r="D20" t="s">
        <v>487</v>
      </c>
      <c r="E20" s="113">
        <v>270171</v>
      </c>
      <c r="F20" s="121">
        <f t="shared" si="0"/>
        <v>3377.1374999999998</v>
      </c>
      <c r="G20" s="101"/>
      <c r="H20" s="113">
        <v>300000</v>
      </c>
      <c r="I20" s="121">
        <f t="shared" si="1"/>
        <v>3750</v>
      </c>
      <c r="J20" s="101"/>
      <c r="K20" s="101"/>
      <c r="L20" s="101"/>
      <c r="M20" s="101"/>
      <c r="N20" s="101"/>
    </row>
    <row r="21" spans="3:14" x14ac:dyDescent="0.2">
      <c r="D21" t="s">
        <v>467</v>
      </c>
      <c r="E21" s="113">
        <v>67169.7</v>
      </c>
      <c r="F21" s="121">
        <f t="shared" si="0"/>
        <v>839.62124999999992</v>
      </c>
      <c r="G21" s="101"/>
      <c r="H21" s="113">
        <v>75000</v>
      </c>
      <c r="I21" s="121">
        <f t="shared" si="1"/>
        <v>937.5</v>
      </c>
      <c r="J21" s="101"/>
      <c r="K21" s="101"/>
      <c r="L21" s="101"/>
      <c r="M21" s="101"/>
      <c r="N21" s="101"/>
    </row>
    <row r="22" spans="3:14" x14ac:dyDescent="0.2">
      <c r="D22" t="s">
        <v>488</v>
      </c>
      <c r="E22" s="113">
        <v>379800</v>
      </c>
      <c r="F22" s="121">
        <f t="shared" si="0"/>
        <v>4747.5</v>
      </c>
      <c r="G22" s="101"/>
      <c r="H22" s="113">
        <v>150000</v>
      </c>
      <c r="I22" s="121">
        <f t="shared" si="1"/>
        <v>1875</v>
      </c>
      <c r="J22" s="101"/>
      <c r="K22" s="101"/>
      <c r="L22" s="101"/>
      <c r="M22" s="101"/>
      <c r="N22" s="101"/>
    </row>
    <row r="23" spans="3:14" x14ac:dyDescent="0.2">
      <c r="D23" t="s">
        <v>470</v>
      </c>
      <c r="E23" s="113">
        <v>5177.25</v>
      </c>
      <c r="F23" s="121">
        <f t="shared" si="0"/>
        <v>64.715625000000003</v>
      </c>
      <c r="G23" s="101"/>
      <c r="H23" s="113">
        <v>7500</v>
      </c>
      <c r="I23" s="121">
        <f t="shared" si="1"/>
        <v>93.75</v>
      </c>
      <c r="J23" s="101"/>
      <c r="K23" s="101"/>
      <c r="L23" s="101"/>
      <c r="M23" s="101"/>
      <c r="N23" s="101"/>
    </row>
    <row r="24" spans="3:14" x14ac:dyDescent="0.2">
      <c r="D24" t="s">
        <v>472</v>
      </c>
      <c r="E24" s="113">
        <v>18252</v>
      </c>
      <c r="F24" s="121">
        <f t="shared" si="0"/>
        <v>228.15</v>
      </c>
      <c r="G24" s="101"/>
      <c r="H24" s="113">
        <v>25000</v>
      </c>
      <c r="I24" s="121">
        <f t="shared" si="1"/>
        <v>312.5</v>
      </c>
      <c r="J24" s="101"/>
      <c r="K24" s="101"/>
      <c r="L24" s="101"/>
      <c r="M24" s="101"/>
      <c r="N24" s="101"/>
    </row>
    <row r="25" spans="3:14" x14ac:dyDescent="0.2">
      <c r="D25" s="107"/>
      <c r="E25" s="114">
        <f>SUM(E19:E24)</f>
        <v>1459714.95</v>
      </c>
      <c r="F25" s="122">
        <f>SUM(F19:F24)</f>
        <v>18246.436875000003</v>
      </c>
      <c r="G25" s="108"/>
      <c r="H25" s="114">
        <f>SUM(H19:H24)</f>
        <v>595000</v>
      </c>
      <c r="I25" s="122">
        <f>SUM(I19:I24)</f>
        <v>7437.5</v>
      </c>
      <c r="J25" s="101"/>
      <c r="K25" s="101"/>
      <c r="L25" s="101"/>
      <c r="M25" s="101"/>
      <c r="N25" s="101"/>
    </row>
    <row r="26" spans="3:14" x14ac:dyDescent="0.2">
      <c r="E26" s="115"/>
      <c r="F26" s="118"/>
      <c r="G26" s="101"/>
      <c r="H26" s="101"/>
      <c r="I26" s="101"/>
      <c r="J26" s="101"/>
      <c r="K26" s="101"/>
      <c r="L26" s="101"/>
      <c r="M26" s="101"/>
      <c r="N26" s="101"/>
    </row>
    <row r="27" spans="3:14" x14ac:dyDescent="0.2">
      <c r="C27" t="s">
        <v>489</v>
      </c>
      <c r="E27" s="115"/>
      <c r="F27" s="118"/>
      <c r="G27" s="101"/>
      <c r="H27" s="101"/>
      <c r="I27" s="101"/>
      <c r="J27" s="101"/>
      <c r="K27" s="101"/>
      <c r="L27" s="101"/>
      <c r="M27" s="101"/>
      <c r="N27" s="101"/>
    </row>
    <row r="28" spans="3:14" x14ac:dyDescent="0.2">
      <c r="D28" t="s">
        <v>490</v>
      </c>
      <c r="E28" s="113">
        <v>19767</v>
      </c>
      <c r="F28" s="121">
        <f>E28/rate</f>
        <v>247.08750000000001</v>
      </c>
      <c r="G28" s="101"/>
      <c r="H28" s="113">
        <v>37500</v>
      </c>
      <c r="I28" s="121">
        <f>H28/rate</f>
        <v>468.75</v>
      </c>
      <c r="J28" s="101"/>
      <c r="K28" s="101"/>
      <c r="L28" s="101"/>
      <c r="M28" s="101"/>
      <c r="N28" s="101"/>
    </row>
    <row r="29" spans="3:14" x14ac:dyDescent="0.2">
      <c r="D29" s="107"/>
      <c r="E29" s="114">
        <f>E28</f>
        <v>19767</v>
      </c>
      <c r="F29" s="122">
        <f>F28</f>
        <v>247.08750000000001</v>
      </c>
      <c r="G29" s="108"/>
      <c r="H29" s="114">
        <f>H28</f>
        <v>37500</v>
      </c>
      <c r="I29" s="122">
        <f>SUM(I28)</f>
        <v>468.75</v>
      </c>
      <c r="J29" s="101"/>
      <c r="K29" s="101"/>
      <c r="L29" s="101"/>
      <c r="M29" s="101"/>
      <c r="N29" s="101"/>
    </row>
    <row r="30" spans="3:14" x14ac:dyDescent="0.2">
      <c r="E30" s="115"/>
      <c r="F30" s="118" t="s">
        <v>23</v>
      </c>
      <c r="G30" s="101"/>
      <c r="H30" s="101"/>
      <c r="I30" s="101"/>
      <c r="J30" s="101"/>
      <c r="K30" s="101"/>
      <c r="L30" s="101"/>
      <c r="M30" s="101"/>
      <c r="N30" s="101"/>
    </row>
    <row r="31" spans="3:14" x14ac:dyDescent="0.2">
      <c r="C31" t="s">
        <v>126</v>
      </c>
      <c r="E31" s="115"/>
      <c r="F31" s="118"/>
      <c r="G31" s="101"/>
      <c r="H31" s="101"/>
      <c r="I31" s="101"/>
      <c r="J31" s="101"/>
      <c r="K31" s="101"/>
      <c r="L31" s="101"/>
      <c r="M31" s="101"/>
      <c r="N31" s="101"/>
    </row>
    <row r="32" spans="3:14" x14ac:dyDescent="0.2">
      <c r="D32" t="s">
        <v>382</v>
      </c>
      <c r="E32" s="301">
        <f>+(E29+E25+E16+E9)*10%</f>
        <v>513066.95900000003</v>
      </c>
      <c r="F32" s="121">
        <f>E32/rate</f>
        <v>6413.3369875000008</v>
      </c>
      <c r="G32" s="101"/>
      <c r="H32" s="301">
        <f>+(H29+H25+H16+H9)*10%</f>
        <v>435517.5</v>
      </c>
      <c r="I32" s="121">
        <f>H32/rate</f>
        <v>5443.96875</v>
      </c>
      <c r="J32" s="101"/>
      <c r="K32" s="101"/>
      <c r="L32" s="101"/>
      <c r="M32" s="101"/>
      <c r="N32" s="101" t="s">
        <v>381</v>
      </c>
    </row>
    <row r="33" spans="3:14" x14ac:dyDescent="0.2">
      <c r="D33" s="107"/>
      <c r="E33" s="114">
        <f>E32</f>
        <v>513066.95900000003</v>
      </c>
      <c r="F33" s="122">
        <f>F32</f>
        <v>6413.3369875000008</v>
      </c>
      <c r="G33" s="108"/>
      <c r="H33" s="114">
        <f>H32</f>
        <v>435517.5</v>
      </c>
      <c r="I33" s="122">
        <f>SUM(I32)</f>
        <v>5443.96875</v>
      </c>
      <c r="J33" s="101"/>
      <c r="K33" s="101"/>
      <c r="L33" s="101"/>
      <c r="M33" s="101"/>
      <c r="N33" s="101"/>
    </row>
    <row r="34" spans="3:14" x14ac:dyDescent="0.2">
      <c r="E34" s="115"/>
      <c r="F34" s="118"/>
      <c r="G34" s="101"/>
      <c r="H34" s="101"/>
      <c r="I34" s="101"/>
      <c r="J34" s="101"/>
      <c r="K34" s="101"/>
      <c r="L34" s="101"/>
      <c r="M34" s="101"/>
      <c r="N34" s="101"/>
    </row>
    <row r="35" spans="3:14" x14ac:dyDescent="0.2">
      <c r="C35" s="3" t="s">
        <v>383</v>
      </c>
      <c r="D35" s="3"/>
      <c r="E35" s="302">
        <f>E9+E16+E25+E29+E33</f>
        <v>5643736.5489999996</v>
      </c>
      <c r="F35" s="303">
        <f>F9+F16+F25+F29+F33</f>
        <v>70546.706862499996</v>
      </c>
      <c r="G35" s="188"/>
      <c r="H35" s="302">
        <f>H9+H16+H25+H29+H33</f>
        <v>4790692.5</v>
      </c>
      <c r="I35" s="303">
        <f>I9+I16+I25+I29+I33</f>
        <v>59883.65625</v>
      </c>
      <c r="J35" s="188"/>
      <c r="K35" s="188"/>
      <c r="L35" s="188"/>
      <c r="M35" s="188"/>
      <c r="N35" s="101"/>
    </row>
    <row r="36" spans="3:14" x14ac:dyDescent="0.2">
      <c r="E36" s="101"/>
      <c r="F36" s="118"/>
      <c r="G36" s="101"/>
      <c r="H36" s="101"/>
      <c r="I36" s="101"/>
      <c r="J36" s="101"/>
      <c r="K36" s="101"/>
      <c r="L36" s="101"/>
      <c r="M36" s="101"/>
      <c r="N36" s="101"/>
    </row>
    <row r="37" spans="3:14" x14ac:dyDescent="0.2">
      <c r="E37" s="101"/>
      <c r="F37" s="118"/>
      <c r="G37" s="101"/>
      <c r="H37" s="101"/>
      <c r="I37" s="101"/>
      <c r="J37" s="101"/>
      <c r="K37" s="101"/>
      <c r="L37" s="101"/>
      <c r="M37" s="101"/>
      <c r="N37" s="101"/>
    </row>
    <row r="38" spans="3:14" x14ac:dyDescent="0.2">
      <c r="E38" s="101"/>
      <c r="F38" s="118"/>
      <c r="G38" s="101"/>
      <c r="H38" s="101"/>
      <c r="I38" s="101"/>
      <c r="J38" s="101"/>
      <c r="K38" s="101"/>
      <c r="L38" s="101"/>
      <c r="M38" s="101"/>
      <c r="N38" s="101"/>
    </row>
    <row r="39" spans="3:14" x14ac:dyDescent="0.2">
      <c r="E39" s="101"/>
      <c r="F39" s="118"/>
      <c r="G39" s="101"/>
      <c r="H39" s="101"/>
      <c r="I39" s="101"/>
      <c r="J39" s="101"/>
      <c r="K39" s="101"/>
      <c r="L39" s="101"/>
      <c r="M39" s="101"/>
      <c r="N39" s="101"/>
    </row>
    <row r="40" spans="3:14" x14ac:dyDescent="0.2">
      <c r="E40" s="101"/>
      <c r="F40" s="118"/>
      <c r="G40" s="101"/>
      <c r="H40" s="101"/>
      <c r="I40" s="101"/>
      <c r="J40" s="101"/>
      <c r="K40" s="101"/>
      <c r="L40" s="101"/>
      <c r="M40" s="101"/>
      <c r="N40" s="101"/>
    </row>
    <row r="41" spans="3:14" x14ac:dyDescent="0.2">
      <c r="E41" s="101"/>
      <c r="F41" s="118"/>
      <c r="G41" s="101"/>
      <c r="H41" s="101"/>
      <c r="I41" s="101"/>
      <c r="J41" s="101"/>
      <c r="K41" s="101"/>
      <c r="L41" s="101"/>
      <c r="M41" s="101"/>
      <c r="N41" s="101"/>
    </row>
    <row r="42" spans="3:14" x14ac:dyDescent="0.2">
      <c r="E42" s="101"/>
      <c r="F42" s="118"/>
      <c r="G42" s="101"/>
      <c r="H42" s="101"/>
      <c r="I42" s="101"/>
      <c r="J42" s="101"/>
      <c r="K42" s="101"/>
      <c r="L42" s="101"/>
      <c r="M42" s="101"/>
      <c r="N42" s="101"/>
    </row>
    <row r="43" spans="3:14" x14ac:dyDescent="0.2">
      <c r="E43" s="101"/>
      <c r="F43" s="118"/>
      <c r="G43" s="101"/>
      <c r="H43" s="101"/>
      <c r="I43" s="101"/>
      <c r="J43" s="101"/>
      <c r="K43" s="101"/>
      <c r="L43" s="101"/>
      <c r="M43" s="101"/>
      <c r="N43" s="101"/>
    </row>
    <row r="44" spans="3:14" x14ac:dyDescent="0.2">
      <c r="E44" s="101"/>
      <c r="F44" s="118"/>
      <c r="G44" s="101"/>
      <c r="H44" s="101"/>
      <c r="I44" s="101"/>
      <c r="J44" s="101"/>
      <c r="K44" s="101"/>
      <c r="L44" s="101"/>
      <c r="M44" s="101"/>
      <c r="N44" s="101"/>
    </row>
    <row r="45" spans="3:14" x14ac:dyDescent="0.2">
      <c r="E45" s="101"/>
      <c r="F45" s="118"/>
      <c r="G45" s="101"/>
      <c r="H45" s="101"/>
      <c r="I45" s="101"/>
      <c r="J45" s="101"/>
      <c r="K45" s="101"/>
      <c r="L45" s="101"/>
      <c r="M45" s="101"/>
      <c r="N45" s="101"/>
    </row>
    <row r="46" spans="3:14" x14ac:dyDescent="0.2">
      <c r="E46" s="101"/>
      <c r="F46" s="118"/>
      <c r="G46" s="101"/>
      <c r="H46" s="101"/>
      <c r="I46" s="101"/>
      <c r="J46" s="101"/>
      <c r="K46" s="101"/>
      <c r="L46" s="101"/>
      <c r="M46" s="101"/>
      <c r="N46" s="101"/>
    </row>
    <row r="47" spans="3:14" x14ac:dyDescent="0.2">
      <c r="E47" s="101"/>
      <c r="F47" s="118"/>
      <c r="G47" s="101"/>
      <c r="H47" s="101"/>
      <c r="I47" s="101"/>
      <c r="J47" s="101"/>
      <c r="K47" s="101"/>
      <c r="L47" s="101"/>
      <c r="M47" s="101"/>
      <c r="N47" s="101"/>
    </row>
    <row r="48" spans="3:14" x14ac:dyDescent="0.2">
      <c r="E48" s="101"/>
      <c r="F48" s="118"/>
      <c r="G48" s="101"/>
      <c r="H48" s="101"/>
      <c r="I48" s="101"/>
      <c r="J48" s="101"/>
      <c r="K48" s="101"/>
      <c r="L48" s="101"/>
      <c r="M48" s="101"/>
      <c r="N48" s="101"/>
    </row>
    <row r="49" spans="5:14" x14ac:dyDescent="0.2">
      <c r="E49" s="101"/>
      <c r="F49" s="118"/>
      <c r="G49" s="101"/>
      <c r="H49" s="101"/>
      <c r="I49" s="101"/>
      <c r="J49" s="101"/>
      <c r="K49" s="101"/>
      <c r="L49" s="101"/>
      <c r="M49" s="101"/>
      <c r="N49" s="101"/>
    </row>
    <row r="50" spans="5:14" x14ac:dyDescent="0.2">
      <c r="E50" s="101"/>
      <c r="F50" s="118"/>
      <c r="G50" s="101"/>
      <c r="H50" s="101"/>
      <c r="I50" s="101"/>
      <c r="J50" s="101"/>
      <c r="K50" s="101"/>
      <c r="L50" s="101"/>
      <c r="M50" s="101"/>
      <c r="N50" s="101"/>
    </row>
    <row r="51" spans="5:14" x14ac:dyDescent="0.2">
      <c r="E51" s="101"/>
      <c r="F51" s="118"/>
      <c r="G51" s="101"/>
      <c r="H51" s="101"/>
      <c r="I51" s="101"/>
      <c r="J51" s="101"/>
      <c r="K51" s="101"/>
      <c r="L51" s="101"/>
      <c r="M51" s="101"/>
      <c r="N51" s="101"/>
    </row>
    <row r="52" spans="5:14" x14ac:dyDescent="0.2">
      <c r="E52" s="101"/>
      <c r="F52" s="118"/>
      <c r="G52" s="101"/>
      <c r="H52" s="101"/>
      <c r="I52" s="101"/>
      <c r="J52" s="101"/>
      <c r="K52" s="101"/>
      <c r="L52" s="101"/>
      <c r="M52" s="101"/>
      <c r="N52" s="101"/>
    </row>
    <row r="53" spans="5:14" x14ac:dyDescent="0.2">
      <c r="E53" s="101"/>
      <c r="F53" s="118"/>
      <c r="G53" s="101"/>
      <c r="H53" s="101"/>
      <c r="I53" s="101"/>
      <c r="J53" s="101"/>
      <c r="K53" s="101"/>
      <c r="L53" s="101"/>
      <c r="M53" s="101"/>
      <c r="N53" s="101"/>
    </row>
    <row r="54" spans="5:14" x14ac:dyDescent="0.2">
      <c r="E54" s="101"/>
      <c r="F54" s="118"/>
      <c r="G54" s="101"/>
      <c r="H54" s="101"/>
      <c r="I54" s="101"/>
      <c r="J54" s="101"/>
      <c r="K54" s="101"/>
      <c r="L54" s="101"/>
      <c r="M54" s="101"/>
      <c r="N54" s="101"/>
    </row>
    <row r="55" spans="5:14" x14ac:dyDescent="0.2">
      <c r="E55" s="101"/>
      <c r="F55" s="118"/>
      <c r="G55" s="101"/>
      <c r="H55" s="101"/>
      <c r="I55" s="101"/>
      <c r="J55" s="101"/>
      <c r="K55" s="101"/>
      <c r="L55" s="101"/>
      <c r="M55" s="101"/>
      <c r="N55" s="101"/>
    </row>
    <row r="56" spans="5:14" x14ac:dyDescent="0.2">
      <c r="E56" s="101"/>
      <c r="F56" s="118"/>
      <c r="G56" s="101"/>
      <c r="H56" s="101"/>
      <c r="I56" s="101"/>
      <c r="J56" s="101"/>
      <c r="K56" s="101"/>
      <c r="L56" s="101"/>
      <c r="M56" s="101"/>
      <c r="N56" s="101"/>
    </row>
    <row r="57" spans="5:14" x14ac:dyDescent="0.2">
      <c r="E57" s="101"/>
      <c r="F57" s="118"/>
      <c r="G57" s="101"/>
      <c r="H57" s="101"/>
      <c r="I57" s="101"/>
      <c r="J57" s="101"/>
      <c r="K57" s="101"/>
      <c r="L57" s="101"/>
      <c r="M57" s="101"/>
      <c r="N57" s="101"/>
    </row>
    <row r="58" spans="5:14" x14ac:dyDescent="0.2">
      <c r="E58" s="101"/>
      <c r="F58" s="118"/>
      <c r="G58" s="101"/>
      <c r="H58" s="101"/>
      <c r="I58" s="101"/>
      <c r="J58" s="101"/>
      <c r="K58" s="101"/>
      <c r="L58" s="101"/>
      <c r="M58" s="101"/>
      <c r="N58" s="101"/>
    </row>
    <row r="59" spans="5:14" x14ac:dyDescent="0.2">
      <c r="E59" s="101"/>
      <c r="F59" s="118"/>
      <c r="G59" s="101"/>
      <c r="H59" s="101"/>
      <c r="I59" s="101"/>
      <c r="J59" s="101"/>
      <c r="K59" s="101"/>
      <c r="L59" s="101"/>
      <c r="M59" s="101"/>
      <c r="N59" s="101"/>
    </row>
    <row r="60" spans="5:14" x14ac:dyDescent="0.2">
      <c r="E60" s="101"/>
      <c r="F60" s="118"/>
      <c r="G60" s="101"/>
      <c r="H60" s="101"/>
      <c r="I60" s="101"/>
      <c r="J60" s="101"/>
      <c r="K60" s="101"/>
      <c r="L60" s="101"/>
      <c r="M60" s="101"/>
      <c r="N60" s="101"/>
    </row>
    <row r="61" spans="5:14" x14ac:dyDescent="0.2">
      <c r="E61" s="101"/>
      <c r="F61" s="118"/>
      <c r="G61" s="101"/>
      <c r="H61" s="101"/>
      <c r="I61" s="101"/>
      <c r="J61" s="101"/>
      <c r="K61" s="101"/>
      <c r="L61" s="101"/>
      <c r="M61" s="101"/>
      <c r="N61" s="101"/>
    </row>
    <row r="62" spans="5:14" x14ac:dyDescent="0.2">
      <c r="E62" s="101"/>
      <c r="F62" s="118"/>
      <c r="G62" s="101"/>
      <c r="H62" s="101"/>
      <c r="I62" s="101"/>
      <c r="J62" s="101"/>
      <c r="K62" s="101"/>
      <c r="L62" s="101"/>
      <c r="M62" s="101"/>
      <c r="N62" s="101"/>
    </row>
    <row r="63" spans="5:14" x14ac:dyDescent="0.2">
      <c r="E63" s="101"/>
      <c r="F63" s="118"/>
      <c r="G63" s="101"/>
      <c r="H63" s="101"/>
      <c r="I63" s="101"/>
      <c r="J63" s="101"/>
      <c r="K63" s="101"/>
      <c r="L63" s="101"/>
      <c r="M63" s="101"/>
      <c r="N63" s="101"/>
    </row>
    <row r="64" spans="5:14" x14ac:dyDescent="0.2">
      <c r="E64" s="101"/>
      <c r="F64" s="118"/>
      <c r="G64" s="101"/>
      <c r="H64" s="101"/>
      <c r="I64" s="101"/>
      <c r="J64" s="101"/>
      <c r="K64" s="101"/>
      <c r="L64" s="101"/>
      <c r="M64" s="101"/>
      <c r="N64" s="101"/>
    </row>
    <row r="65" spans="5:14" x14ac:dyDescent="0.2">
      <c r="E65" s="101"/>
      <c r="F65" s="118"/>
      <c r="G65" s="101"/>
      <c r="H65" s="101"/>
      <c r="I65" s="101"/>
      <c r="J65" s="101"/>
      <c r="K65" s="101"/>
      <c r="L65" s="101"/>
      <c r="M65" s="101"/>
      <c r="N65" s="101"/>
    </row>
    <row r="66" spans="5:14" x14ac:dyDescent="0.2">
      <c r="E66" s="101"/>
      <c r="F66" s="118"/>
      <c r="G66" s="101"/>
      <c r="H66" s="101"/>
      <c r="I66" s="101"/>
      <c r="J66" s="101"/>
      <c r="K66" s="101"/>
      <c r="L66" s="101"/>
      <c r="M66" s="101"/>
      <c r="N66" s="101"/>
    </row>
    <row r="67" spans="5:14" x14ac:dyDescent="0.2">
      <c r="E67" s="101"/>
      <c r="F67" s="118"/>
      <c r="G67" s="101"/>
      <c r="H67" s="101"/>
      <c r="I67" s="101"/>
      <c r="J67" s="101"/>
      <c r="K67" s="101"/>
      <c r="L67" s="101"/>
      <c r="M67" s="101"/>
      <c r="N67" s="101"/>
    </row>
    <row r="68" spans="5:14" x14ac:dyDescent="0.2">
      <c r="E68" s="101"/>
      <c r="F68" s="118"/>
      <c r="G68" s="101"/>
      <c r="H68" s="101"/>
      <c r="I68" s="101"/>
      <c r="J68" s="101"/>
      <c r="K68" s="101"/>
      <c r="L68" s="101"/>
      <c r="M68" s="101"/>
      <c r="N68" s="101"/>
    </row>
    <row r="69" spans="5:14" x14ac:dyDescent="0.2">
      <c r="E69" s="101"/>
      <c r="F69" s="118"/>
      <c r="G69" s="101"/>
      <c r="H69" s="101"/>
      <c r="I69" s="101"/>
      <c r="J69" s="101"/>
      <c r="K69" s="101"/>
      <c r="L69" s="101"/>
      <c r="M69" s="101"/>
      <c r="N69" s="101"/>
    </row>
    <row r="70" spans="5:14" x14ac:dyDescent="0.2">
      <c r="E70" s="101"/>
      <c r="F70" s="118"/>
      <c r="G70" s="101"/>
      <c r="H70" s="101"/>
      <c r="I70" s="101"/>
      <c r="J70" s="101"/>
      <c r="K70" s="101"/>
      <c r="L70" s="101"/>
      <c r="M70" s="101"/>
      <c r="N70" s="101"/>
    </row>
    <row r="71" spans="5:14" x14ac:dyDescent="0.2">
      <c r="E71" s="101"/>
      <c r="F71" s="118"/>
      <c r="G71" s="101"/>
      <c r="H71" s="101"/>
      <c r="I71" s="101"/>
      <c r="J71" s="101"/>
      <c r="K71" s="101"/>
      <c r="L71" s="101"/>
      <c r="M71" s="101"/>
      <c r="N71" s="101"/>
    </row>
    <row r="72" spans="5:14" x14ac:dyDescent="0.2">
      <c r="E72" s="101"/>
      <c r="F72" s="118"/>
      <c r="G72" s="101"/>
      <c r="H72" s="101"/>
      <c r="I72" s="101"/>
      <c r="J72" s="101"/>
      <c r="K72" s="101"/>
      <c r="L72" s="101"/>
      <c r="M72" s="101"/>
      <c r="N72" s="101"/>
    </row>
    <row r="73" spans="5:14" x14ac:dyDescent="0.2">
      <c r="E73" s="101"/>
      <c r="F73" s="118"/>
      <c r="G73" s="101"/>
      <c r="H73" s="101"/>
      <c r="I73" s="101"/>
      <c r="J73" s="101"/>
      <c r="K73" s="101"/>
      <c r="L73" s="101"/>
      <c r="M73" s="101"/>
      <c r="N73" s="101"/>
    </row>
    <row r="74" spans="5:14" x14ac:dyDescent="0.2">
      <c r="E74" s="101"/>
      <c r="F74" s="118"/>
      <c r="G74" s="101"/>
      <c r="H74" s="101"/>
      <c r="I74" s="101"/>
      <c r="J74" s="101"/>
      <c r="K74" s="101"/>
      <c r="L74" s="101"/>
      <c r="M74" s="101"/>
      <c r="N74" s="101"/>
    </row>
    <row r="75" spans="5:14" x14ac:dyDescent="0.2">
      <c r="E75" s="101"/>
      <c r="F75" s="118"/>
      <c r="G75" s="101"/>
      <c r="H75" s="101"/>
      <c r="I75" s="101"/>
      <c r="J75" s="101"/>
      <c r="K75" s="101"/>
      <c r="L75" s="101"/>
      <c r="M75" s="101"/>
      <c r="N75" s="101"/>
    </row>
    <row r="76" spans="5:14" x14ac:dyDescent="0.2">
      <c r="E76" s="101"/>
      <c r="F76" s="118"/>
      <c r="G76" s="101"/>
      <c r="H76" s="101"/>
      <c r="I76" s="101"/>
      <c r="J76" s="101"/>
      <c r="K76" s="101"/>
      <c r="L76" s="101"/>
      <c r="M76" s="101"/>
      <c r="N76" s="101"/>
    </row>
    <row r="77" spans="5:14" x14ac:dyDescent="0.2">
      <c r="E77" s="101"/>
      <c r="F77" s="118"/>
      <c r="G77" s="101"/>
      <c r="H77" s="101"/>
      <c r="I77" s="101"/>
      <c r="J77" s="101"/>
      <c r="K77" s="101"/>
      <c r="L77" s="101"/>
      <c r="M77" s="101"/>
      <c r="N77" s="101"/>
    </row>
    <row r="78" spans="5:14" x14ac:dyDescent="0.2">
      <c r="E78" s="101"/>
      <c r="F78" s="118"/>
      <c r="G78" s="101"/>
      <c r="H78" s="101"/>
      <c r="I78" s="101"/>
      <c r="J78" s="101"/>
      <c r="K78" s="101"/>
      <c r="L78" s="101"/>
      <c r="M78" s="101"/>
      <c r="N78" s="101"/>
    </row>
    <row r="79" spans="5:14" x14ac:dyDescent="0.2">
      <c r="E79" s="101"/>
      <c r="F79" s="118"/>
      <c r="G79" s="101"/>
      <c r="H79" s="101"/>
      <c r="I79" s="101"/>
      <c r="J79" s="101"/>
      <c r="K79" s="101"/>
      <c r="L79" s="101"/>
      <c r="M79" s="101"/>
      <c r="N79" s="101"/>
    </row>
    <row r="80" spans="5:14" x14ac:dyDescent="0.2">
      <c r="E80" s="101"/>
      <c r="F80" s="118"/>
      <c r="G80" s="101"/>
      <c r="H80" s="101"/>
      <c r="I80" s="101"/>
      <c r="J80" s="101"/>
      <c r="K80" s="101"/>
      <c r="L80" s="101"/>
      <c r="M80" s="101"/>
      <c r="N80" s="101"/>
    </row>
    <row r="81" spans="5:14" x14ac:dyDescent="0.2">
      <c r="E81" s="101"/>
      <c r="F81" s="118"/>
      <c r="G81" s="101"/>
      <c r="H81" s="101"/>
      <c r="I81" s="101"/>
      <c r="J81" s="101"/>
      <c r="K81" s="101"/>
      <c r="L81" s="101"/>
      <c r="M81" s="101"/>
      <c r="N81" s="101"/>
    </row>
    <row r="82" spans="5:14" x14ac:dyDescent="0.2">
      <c r="E82" s="101"/>
      <c r="F82" s="118"/>
      <c r="G82" s="101"/>
      <c r="H82" s="101"/>
      <c r="I82" s="101"/>
      <c r="J82" s="101"/>
      <c r="K82" s="101"/>
      <c r="L82" s="101"/>
      <c r="M82" s="101"/>
      <c r="N82" s="101"/>
    </row>
    <row r="83" spans="5:14" x14ac:dyDescent="0.2">
      <c r="E83" s="101"/>
      <c r="F83" s="118"/>
      <c r="G83" s="101"/>
      <c r="H83" s="101"/>
      <c r="I83" s="101"/>
      <c r="J83" s="101"/>
      <c r="K83" s="101"/>
      <c r="L83" s="101"/>
      <c r="M83" s="101"/>
      <c r="N83" s="101"/>
    </row>
    <row r="84" spans="5:14" x14ac:dyDescent="0.2">
      <c r="E84" s="101"/>
      <c r="F84" s="118"/>
      <c r="G84" s="101"/>
      <c r="H84" s="101"/>
      <c r="I84" s="101"/>
      <c r="J84" s="101"/>
      <c r="K84" s="101"/>
      <c r="L84" s="101"/>
      <c r="M84" s="101"/>
      <c r="N84" s="101"/>
    </row>
    <row r="85" spans="5:14" x14ac:dyDescent="0.2">
      <c r="E85" s="101"/>
      <c r="F85" s="118"/>
      <c r="G85" s="101"/>
      <c r="H85" s="101"/>
      <c r="I85" s="101"/>
      <c r="J85" s="101"/>
      <c r="K85" s="101"/>
      <c r="L85" s="101"/>
      <c r="M85" s="101"/>
      <c r="N85" s="101"/>
    </row>
    <row r="86" spans="5:14" x14ac:dyDescent="0.2">
      <c r="E86" s="101"/>
      <c r="F86" s="118"/>
      <c r="G86" s="101"/>
      <c r="H86" s="101"/>
      <c r="I86" s="101"/>
      <c r="J86" s="101"/>
      <c r="K86" s="101"/>
      <c r="L86" s="101"/>
      <c r="M86" s="101"/>
      <c r="N86" s="101"/>
    </row>
    <row r="87" spans="5:14" x14ac:dyDescent="0.2">
      <c r="E87" s="101"/>
      <c r="F87" s="118"/>
      <c r="G87" s="101"/>
      <c r="H87" s="101"/>
      <c r="I87" s="101"/>
      <c r="J87" s="101"/>
      <c r="K87" s="101"/>
      <c r="L87" s="101"/>
      <c r="M87" s="101"/>
      <c r="N87" s="101"/>
    </row>
    <row r="88" spans="5:14" x14ac:dyDescent="0.2">
      <c r="E88" s="101"/>
      <c r="F88" s="118"/>
      <c r="G88" s="101"/>
      <c r="H88" s="101"/>
      <c r="I88" s="101"/>
      <c r="J88" s="101"/>
      <c r="K88" s="101"/>
      <c r="L88" s="101"/>
      <c r="M88" s="101"/>
      <c r="N88" s="101"/>
    </row>
    <row r="89" spans="5:14" x14ac:dyDescent="0.2">
      <c r="E89" s="101"/>
      <c r="F89" s="118"/>
      <c r="G89" s="101"/>
      <c r="H89" s="101"/>
      <c r="I89" s="101"/>
      <c r="J89" s="101"/>
      <c r="K89" s="101"/>
      <c r="L89" s="101"/>
      <c r="M89" s="101"/>
      <c r="N89" s="101"/>
    </row>
    <row r="90" spans="5:14" x14ac:dyDescent="0.2">
      <c r="E90" s="101"/>
      <c r="F90" s="118"/>
      <c r="G90" s="101"/>
      <c r="H90" s="101"/>
      <c r="I90" s="101"/>
      <c r="J90" s="101"/>
      <c r="K90" s="101"/>
      <c r="L90" s="101"/>
      <c r="M90" s="101"/>
      <c r="N90" s="101"/>
    </row>
    <row r="91" spans="5:14" x14ac:dyDescent="0.2">
      <c r="E91" s="101"/>
      <c r="F91" s="118"/>
      <c r="G91" s="101"/>
      <c r="H91" s="101"/>
      <c r="I91" s="101"/>
      <c r="J91" s="101"/>
      <c r="K91" s="101"/>
      <c r="L91" s="101"/>
      <c r="M91" s="101"/>
      <c r="N91" s="101"/>
    </row>
    <row r="92" spans="5:14" x14ac:dyDescent="0.2">
      <c r="E92" s="101"/>
      <c r="F92" s="118"/>
      <c r="G92" s="101"/>
      <c r="H92" s="101"/>
      <c r="I92" s="101"/>
      <c r="J92" s="101"/>
      <c r="K92" s="101"/>
      <c r="L92" s="101"/>
      <c r="M92" s="101"/>
      <c r="N92" s="101"/>
    </row>
    <row r="93" spans="5:14" x14ac:dyDescent="0.2">
      <c r="E93" s="101"/>
      <c r="F93" s="118"/>
      <c r="G93" s="101"/>
      <c r="H93" s="101"/>
      <c r="I93" s="101"/>
      <c r="J93" s="101"/>
      <c r="K93" s="101"/>
      <c r="L93" s="101"/>
      <c r="M93" s="101"/>
      <c r="N93" s="101"/>
    </row>
    <row r="94" spans="5:14" x14ac:dyDescent="0.2">
      <c r="E94" s="101"/>
      <c r="F94" s="118"/>
      <c r="G94" s="101"/>
      <c r="H94" s="101"/>
      <c r="I94" s="101"/>
      <c r="J94" s="101"/>
      <c r="K94" s="101"/>
      <c r="L94" s="101"/>
      <c r="M94" s="101"/>
      <c r="N94" s="101"/>
    </row>
    <row r="95" spans="5:14" x14ac:dyDescent="0.2">
      <c r="E95" s="101"/>
      <c r="F95" s="118"/>
      <c r="G95" s="101"/>
      <c r="H95" s="101"/>
      <c r="I95" s="101"/>
      <c r="J95" s="101"/>
      <c r="K95" s="101"/>
      <c r="L95" s="101"/>
      <c r="M95" s="101"/>
      <c r="N95" s="101"/>
    </row>
    <row r="96" spans="5:14" x14ac:dyDescent="0.2">
      <c r="E96" s="101"/>
      <c r="F96" s="118"/>
      <c r="G96" s="101"/>
      <c r="H96" s="101"/>
      <c r="I96" s="101"/>
      <c r="J96" s="101"/>
      <c r="K96" s="101"/>
      <c r="L96" s="101"/>
      <c r="M96" s="101"/>
      <c r="N96" s="101"/>
    </row>
    <row r="97" spans="5:14" x14ac:dyDescent="0.2">
      <c r="E97" s="101"/>
      <c r="F97" s="118"/>
      <c r="G97" s="101"/>
      <c r="H97" s="101"/>
      <c r="I97" s="101"/>
      <c r="J97" s="101"/>
      <c r="K97" s="101"/>
      <c r="L97" s="101"/>
      <c r="M97" s="101"/>
      <c r="N97" s="101"/>
    </row>
    <row r="98" spans="5:14" x14ac:dyDescent="0.2">
      <c r="E98" s="101"/>
      <c r="F98" s="118"/>
      <c r="G98" s="101"/>
      <c r="H98" s="101"/>
      <c r="I98" s="101"/>
      <c r="J98" s="101"/>
      <c r="K98" s="101"/>
      <c r="L98" s="101"/>
      <c r="M98" s="101"/>
      <c r="N98" s="101"/>
    </row>
    <row r="99" spans="5:14" x14ac:dyDescent="0.2">
      <c r="E99" s="101"/>
      <c r="F99" s="118"/>
      <c r="G99" s="101"/>
      <c r="H99" s="101"/>
      <c r="I99" s="101"/>
      <c r="J99" s="101"/>
      <c r="K99" s="101"/>
      <c r="L99" s="101"/>
      <c r="M99" s="101"/>
      <c r="N99" s="101"/>
    </row>
    <row r="100" spans="5:14" x14ac:dyDescent="0.2">
      <c r="E100" s="101"/>
      <c r="F100" s="118"/>
      <c r="G100" s="101"/>
      <c r="H100" s="101"/>
      <c r="I100" s="101"/>
      <c r="J100" s="101"/>
      <c r="K100" s="101"/>
      <c r="L100" s="101"/>
      <c r="M100" s="101"/>
      <c r="N100" s="101"/>
    </row>
    <row r="101" spans="5:14" x14ac:dyDescent="0.2">
      <c r="E101" s="101"/>
      <c r="F101" s="118"/>
      <c r="G101" s="101"/>
      <c r="H101" s="101"/>
      <c r="I101" s="101"/>
      <c r="J101" s="101"/>
      <c r="K101" s="101"/>
      <c r="L101" s="101"/>
      <c r="M101" s="101"/>
      <c r="N101" s="101"/>
    </row>
    <row r="102" spans="5:14" x14ac:dyDescent="0.2">
      <c r="E102" s="101"/>
      <c r="F102" s="118"/>
      <c r="G102" s="101"/>
      <c r="H102" s="101"/>
      <c r="I102" s="101"/>
      <c r="J102" s="101"/>
      <c r="K102" s="101"/>
      <c r="L102" s="101"/>
      <c r="M102" s="101"/>
      <c r="N102" s="101"/>
    </row>
    <row r="103" spans="5:14" x14ac:dyDescent="0.2">
      <c r="E103" s="101"/>
      <c r="F103" s="118"/>
      <c r="G103" s="101"/>
      <c r="H103" s="101"/>
      <c r="I103" s="101"/>
      <c r="J103" s="101"/>
      <c r="K103" s="101"/>
      <c r="L103" s="101"/>
      <c r="M103" s="101"/>
      <c r="N103" s="101"/>
    </row>
    <row r="104" spans="5:14" x14ac:dyDescent="0.2">
      <c r="E104" s="101"/>
      <c r="F104" s="118"/>
      <c r="G104" s="101"/>
      <c r="H104" s="101"/>
      <c r="I104" s="101"/>
      <c r="J104" s="101"/>
      <c r="K104" s="101"/>
      <c r="L104" s="101"/>
      <c r="M104" s="101"/>
      <c r="N104" s="101"/>
    </row>
    <row r="105" spans="5:14" x14ac:dyDescent="0.2">
      <c r="E105" s="101"/>
      <c r="F105" s="118"/>
      <c r="G105" s="101"/>
      <c r="H105" s="101"/>
      <c r="I105" s="101"/>
      <c r="J105" s="101"/>
      <c r="K105" s="101"/>
      <c r="L105" s="101"/>
      <c r="M105" s="101"/>
      <c r="N105" s="101"/>
    </row>
    <row r="106" spans="5:14" x14ac:dyDescent="0.2">
      <c r="E106" s="101"/>
      <c r="F106" s="118"/>
      <c r="G106" s="101"/>
      <c r="H106" s="101"/>
      <c r="I106" s="101"/>
      <c r="J106" s="101"/>
      <c r="K106" s="101"/>
      <c r="L106" s="101"/>
      <c r="M106" s="101"/>
      <c r="N106" s="101"/>
    </row>
    <row r="107" spans="5:14" x14ac:dyDescent="0.2">
      <c r="E107" s="101"/>
      <c r="F107" s="118"/>
      <c r="G107" s="101"/>
      <c r="H107" s="101"/>
      <c r="I107" s="101"/>
      <c r="J107" s="101"/>
      <c r="K107" s="101"/>
      <c r="L107" s="101"/>
      <c r="M107" s="101"/>
      <c r="N107" s="101"/>
    </row>
    <row r="108" spans="5:14" x14ac:dyDescent="0.2">
      <c r="E108" s="101"/>
      <c r="F108" s="118"/>
      <c r="G108" s="101"/>
      <c r="H108" s="101"/>
      <c r="I108" s="101"/>
      <c r="J108" s="101"/>
      <c r="K108" s="101"/>
      <c r="L108" s="101"/>
      <c r="M108" s="101"/>
      <c r="N108" s="101"/>
    </row>
    <row r="109" spans="5:14" x14ac:dyDescent="0.2">
      <c r="E109" s="101"/>
      <c r="F109" s="118"/>
      <c r="G109" s="101"/>
      <c r="H109" s="101"/>
      <c r="I109" s="101"/>
      <c r="J109" s="101"/>
      <c r="K109" s="101"/>
      <c r="L109" s="101"/>
      <c r="M109" s="101"/>
      <c r="N109" s="101"/>
    </row>
    <row r="110" spans="5:14" x14ac:dyDescent="0.2">
      <c r="E110" s="101"/>
      <c r="F110" s="118"/>
      <c r="G110" s="101"/>
      <c r="H110" s="101"/>
      <c r="I110" s="101"/>
      <c r="J110" s="101"/>
      <c r="K110" s="101"/>
      <c r="L110" s="101"/>
      <c r="M110" s="101"/>
      <c r="N110" s="101"/>
    </row>
    <row r="111" spans="5:14" x14ac:dyDescent="0.2">
      <c r="E111" s="101"/>
      <c r="F111" s="118"/>
      <c r="G111" s="101"/>
      <c r="H111" s="101"/>
      <c r="I111" s="101"/>
      <c r="J111" s="101"/>
      <c r="K111" s="101"/>
      <c r="L111" s="101"/>
      <c r="M111" s="101"/>
      <c r="N111" s="101"/>
    </row>
    <row r="112" spans="5:14" x14ac:dyDescent="0.2">
      <c r="E112" s="101"/>
      <c r="F112" s="118"/>
      <c r="G112" s="101"/>
      <c r="H112" s="101"/>
      <c r="I112" s="101"/>
      <c r="J112" s="101"/>
      <c r="K112" s="101"/>
      <c r="L112" s="101"/>
      <c r="M112" s="101"/>
      <c r="N112" s="101"/>
    </row>
    <row r="113" spans="5:14" x14ac:dyDescent="0.2">
      <c r="E113" s="101"/>
      <c r="F113" s="118"/>
      <c r="G113" s="101"/>
      <c r="H113" s="101"/>
      <c r="I113" s="101"/>
      <c r="J113" s="101"/>
      <c r="K113" s="101"/>
      <c r="L113" s="101"/>
      <c r="M113" s="101"/>
      <c r="N113" s="101"/>
    </row>
    <row r="114" spans="5:14" x14ac:dyDescent="0.2">
      <c r="E114" s="101"/>
      <c r="F114" s="118"/>
      <c r="G114" s="101"/>
      <c r="H114" s="101"/>
      <c r="I114" s="101"/>
      <c r="J114" s="101"/>
      <c r="K114" s="101"/>
      <c r="L114" s="101"/>
      <c r="M114" s="101"/>
      <c r="N114" s="101"/>
    </row>
    <row r="115" spans="5:14" x14ac:dyDescent="0.2">
      <c r="E115" s="101"/>
      <c r="F115" s="118"/>
      <c r="G115" s="101"/>
      <c r="H115" s="101"/>
      <c r="I115" s="101"/>
      <c r="J115" s="101"/>
      <c r="K115" s="101"/>
      <c r="L115" s="101"/>
      <c r="M115" s="101"/>
      <c r="N115" s="101"/>
    </row>
    <row r="116" spans="5:14" x14ac:dyDescent="0.2">
      <c r="E116" s="101"/>
      <c r="F116" s="118"/>
      <c r="G116" s="101"/>
      <c r="H116" s="101"/>
      <c r="I116" s="101"/>
      <c r="J116" s="101"/>
      <c r="K116" s="101"/>
      <c r="L116" s="101"/>
      <c r="M116" s="101"/>
      <c r="N116" s="101"/>
    </row>
    <row r="117" spans="5:14" x14ac:dyDescent="0.2">
      <c r="E117" s="101"/>
      <c r="F117" s="118"/>
      <c r="G117" s="101"/>
      <c r="H117" s="101"/>
      <c r="I117" s="101"/>
      <c r="J117" s="101"/>
      <c r="K117" s="101"/>
      <c r="L117" s="101"/>
      <c r="M117" s="101"/>
      <c r="N117" s="101"/>
    </row>
    <row r="118" spans="5:14" x14ac:dyDescent="0.2">
      <c r="E118" s="101"/>
      <c r="F118" s="118"/>
      <c r="G118" s="101"/>
      <c r="H118" s="101"/>
      <c r="I118" s="101"/>
      <c r="J118" s="101"/>
      <c r="K118" s="101"/>
      <c r="L118" s="101"/>
      <c r="M118" s="101"/>
      <c r="N118" s="101"/>
    </row>
    <row r="119" spans="5:14" x14ac:dyDescent="0.2">
      <c r="E119" s="101"/>
      <c r="F119" s="118"/>
      <c r="G119" s="101"/>
      <c r="H119" s="101"/>
      <c r="I119" s="101"/>
      <c r="J119" s="101"/>
      <c r="K119" s="101"/>
      <c r="L119" s="101"/>
      <c r="M119" s="101"/>
      <c r="N119" s="101"/>
    </row>
    <row r="120" spans="5:14" x14ac:dyDescent="0.2">
      <c r="E120" s="101"/>
      <c r="F120" s="118"/>
      <c r="G120" s="101"/>
      <c r="H120" s="101"/>
      <c r="I120" s="101"/>
      <c r="J120" s="101"/>
      <c r="K120" s="101"/>
      <c r="L120" s="101"/>
      <c r="M120" s="101"/>
      <c r="N120" s="101"/>
    </row>
    <row r="121" spans="5:14" x14ac:dyDescent="0.2">
      <c r="E121" s="101"/>
      <c r="F121" s="118"/>
      <c r="G121" s="101"/>
      <c r="H121" s="101"/>
      <c r="I121" s="101"/>
      <c r="J121" s="101"/>
      <c r="K121" s="101"/>
      <c r="L121" s="101"/>
      <c r="M121" s="101"/>
      <c r="N121" s="101"/>
    </row>
    <row r="122" spans="5:14" x14ac:dyDescent="0.2">
      <c r="E122" s="101"/>
      <c r="F122" s="118"/>
      <c r="G122" s="101"/>
      <c r="H122" s="101"/>
      <c r="I122" s="101"/>
      <c r="J122" s="101"/>
      <c r="K122" s="101"/>
      <c r="L122" s="101"/>
      <c r="M122" s="101"/>
      <c r="N122" s="101"/>
    </row>
    <row r="123" spans="5:14" x14ac:dyDescent="0.2">
      <c r="E123" s="101"/>
      <c r="F123" s="118"/>
      <c r="G123" s="101"/>
      <c r="H123" s="101"/>
      <c r="I123" s="101"/>
      <c r="J123" s="101"/>
      <c r="K123" s="101"/>
      <c r="L123" s="101"/>
      <c r="M123" s="101"/>
      <c r="N123" s="101"/>
    </row>
    <row r="124" spans="5:14" x14ac:dyDescent="0.2">
      <c r="E124" s="101"/>
      <c r="F124" s="118"/>
      <c r="G124" s="101"/>
      <c r="H124" s="101"/>
      <c r="I124" s="101"/>
      <c r="J124" s="101"/>
      <c r="K124" s="101"/>
      <c r="L124" s="101"/>
      <c r="M124" s="101"/>
      <c r="N124" s="101"/>
    </row>
    <row r="125" spans="5:14" x14ac:dyDescent="0.2">
      <c r="E125" s="101"/>
      <c r="F125" s="118"/>
      <c r="G125" s="101"/>
      <c r="H125" s="101"/>
      <c r="I125" s="101"/>
      <c r="J125" s="101"/>
      <c r="K125" s="101"/>
      <c r="L125" s="101"/>
      <c r="M125" s="101"/>
      <c r="N125" s="101"/>
    </row>
    <row r="126" spans="5:14" x14ac:dyDescent="0.2">
      <c r="E126" s="101"/>
      <c r="F126" s="118"/>
      <c r="G126" s="101"/>
      <c r="H126" s="101"/>
      <c r="I126" s="101"/>
      <c r="J126" s="101"/>
      <c r="K126" s="101"/>
      <c r="L126" s="101"/>
      <c r="M126" s="101"/>
      <c r="N126" s="101"/>
    </row>
    <row r="127" spans="5:14" x14ac:dyDescent="0.2">
      <c r="E127" s="101"/>
      <c r="F127" s="118"/>
      <c r="G127" s="101"/>
      <c r="H127" s="101"/>
      <c r="I127" s="101"/>
      <c r="J127" s="101"/>
      <c r="K127" s="101"/>
      <c r="L127" s="101"/>
      <c r="M127" s="101"/>
      <c r="N127" s="101"/>
    </row>
    <row r="128" spans="5:14" x14ac:dyDescent="0.2">
      <c r="E128" s="101"/>
      <c r="F128" s="118"/>
      <c r="G128" s="101"/>
      <c r="H128" s="101"/>
      <c r="I128" s="101"/>
      <c r="J128" s="101"/>
      <c r="K128" s="101"/>
      <c r="L128" s="101"/>
      <c r="M128" s="101"/>
      <c r="N128" s="101"/>
    </row>
    <row r="129" spans="5:14" x14ac:dyDescent="0.2">
      <c r="E129" s="101"/>
      <c r="F129" s="118"/>
      <c r="G129" s="101"/>
      <c r="H129" s="101"/>
      <c r="I129" s="101"/>
      <c r="J129" s="101"/>
      <c r="K129" s="101"/>
      <c r="L129" s="101"/>
      <c r="M129" s="101"/>
      <c r="N129" s="101"/>
    </row>
    <row r="130" spans="5:14" x14ac:dyDescent="0.2">
      <c r="E130" s="101"/>
      <c r="F130" s="118"/>
      <c r="G130" s="101"/>
      <c r="H130" s="101"/>
      <c r="I130" s="101"/>
      <c r="J130" s="101"/>
      <c r="K130" s="101"/>
      <c r="L130" s="101"/>
      <c r="M130" s="101"/>
      <c r="N130" s="101"/>
    </row>
    <row r="131" spans="5:14" x14ac:dyDescent="0.2">
      <c r="E131" s="101"/>
      <c r="F131" s="118"/>
      <c r="G131" s="101"/>
      <c r="H131" s="101"/>
      <c r="I131" s="101"/>
      <c r="J131" s="101"/>
      <c r="K131" s="101"/>
      <c r="L131" s="101"/>
      <c r="M131" s="101"/>
      <c r="N131" s="101"/>
    </row>
    <row r="132" spans="5:14" x14ac:dyDescent="0.2">
      <c r="E132" s="101"/>
      <c r="F132" s="118"/>
      <c r="G132" s="101"/>
      <c r="H132" s="101"/>
      <c r="I132" s="101"/>
      <c r="J132" s="101"/>
      <c r="K132" s="101"/>
      <c r="L132" s="101"/>
      <c r="M132" s="101"/>
      <c r="N132" s="101"/>
    </row>
    <row r="133" spans="5:14" x14ac:dyDescent="0.2">
      <c r="E133" s="101"/>
      <c r="F133" s="118"/>
      <c r="G133" s="101"/>
      <c r="H133" s="101"/>
      <c r="I133" s="101"/>
      <c r="J133" s="101"/>
      <c r="K133" s="101"/>
      <c r="L133" s="101"/>
      <c r="M133" s="101"/>
      <c r="N133" s="101"/>
    </row>
    <row r="134" spans="5:14" x14ac:dyDescent="0.2">
      <c r="E134" s="101"/>
      <c r="F134" s="118"/>
      <c r="G134" s="101"/>
      <c r="H134" s="101"/>
      <c r="I134" s="101"/>
      <c r="J134" s="101"/>
      <c r="K134" s="101"/>
      <c r="L134" s="101"/>
      <c r="M134" s="101"/>
      <c r="N134" s="101"/>
    </row>
    <row r="135" spans="5:14" x14ac:dyDescent="0.2">
      <c r="E135" s="101"/>
      <c r="F135" s="118"/>
      <c r="G135" s="101"/>
      <c r="H135" s="101"/>
      <c r="I135" s="101"/>
      <c r="J135" s="101"/>
      <c r="K135" s="101"/>
      <c r="L135" s="101"/>
      <c r="M135" s="101"/>
      <c r="N135" s="101"/>
    </row>
    <row r="136" spans="5:14" x14ac:dyDescent="0.2">
      <c r="E136" s="101"/>
      <c r="F136" s="118"/>
      <c r="G136" s="101"/>
      <c r="H136" s="101"/>
      <c r="I136" s="101"/>
      <c r="J136" s="101"/>
      <c r="K136" s="101"/>
      <c r="L136" s="101"/>
      <c r="M136" s="101"/>
      <c r="N136" s="101"/>
    </row>
    <row r="137" spans="5:14" x14ac:dyDescent="0.2">
      <c r="E137" s="101"/>
      <c r="F137" s="118"/>
      <c r="G137" s="101"/>
      <c r="H137" s="101"/>
      <c r="I137" s="101"/>
      <c r="J137" s="101"/>
      <c r="K137" s="101"/>
      <c r="L137" s="101"/>
      <c r="M137" s="101"/>
      <c r="N137" s="101"/>
    </row>
    <row r="138" spans="5:14" x14ac:dyDescent="0.2">
      <c r="E138" s="101"/>
      <c r="F138" s="118"/>
      <c r="G138" s="101"/>
      <c r="H138" s="101"/>
      <c r="I138" s="101"/>
      <c r="J138" s="101"/>
      <c r="K138" s="101"/>
      <c r="L138" s="101"/>
      <c r="M138" s="101"/>
      <c r="N138" s="101"/>
    </row>
    <row r="139" spans="5:14" x14ac:dyDescent="0.2">
      <c r="E139" s="101"/>
      <c r="F139" s="118"/>
      <c r="G139" s="101"/>
      <c r="H139" s="101"/>
      <c r="I139" s="101"/>
      <c r="J139" s="101"/>
      <c r="K139" s="101"/>
      <c r="L139" s="101"/>
      <c r="M139" s="101"/>
      <c r="N139" s="101"/>
    </row>
    <row r="140" spans="5:14" x14ac:dyDescent="0.2">
      <c r="E140" s="101"/>
      <c r="F140" s="118"/>
      <c r="G140" s="101"/>
      <c r="H140" s="101"/>
      <c r="I140" s="101"/>
      <c r="J140" s="101"/>
      <c r="K140" s="101"/>
      <c r="L140" s="101"/>
      <c r="M140" s="101"/>
      <c r="N140" s="101"/>
    </row>
    <row r="141" spans="5:14" x14ac:dyDescent="0.2">
      <c r="E141" s="101"/>
      <c r="F141" s="118"/>
      <c r="G141" s="101"/>
      <c r="H141" s="101"/>
      <c r="I141" s="101"/>
      <c r="J141" s="101"/>
      <c r="K141" s="101"/>
      <c r="L141" s="101"/>
      <c r="M141" s="101"/>
      <c r="N141" s="101"/>
    </row>
    <row r="142" spans="5:14" x14ac:dyDescent="0.2">
      <c r="E142" s="101"/>
      <c r="F142" s="118"/>
      <c r="G142" s="101"/>
      <c r="H142" s="101"/>
      <c r="I142" s="101"/>
      <c r="J142" s="101"/>
      <c r="K142" s="101"/>
      <c r="L142" s="101"/>
      <c r="M142" s="101"/>
      <c r="N142" s="101"/>
    </row>
    <row r="143" spans="5:14" x14ac:dyDescent="0.2">
      <c r="E143" s="101"/>
      <c r="F143" s="118"/>
      <c r="G143" s="101"/>
      <c r="H143" s="101"/>
      <c r="I143" s="101"/>
      <c r="J143" s="101"/>
      <c r="K143" s="101"/>
      <c r="L143" s="101"/>
      <c r="M143" s="101"/>
      <c r="N143" s="101"/>
    </row>
    <row r="144" spans="5:14" x14ac:dyDescent="0.2">
      <c r="E144" s="101"/>
      <c r="F144" s="118"/>
      <c r="G144" s="101"/>
      <c r="H144" s="101"/>
      <c r="I144" s="101"/>
      <c r="J144" s="101"/>
      <c r="K144" s="101"/>
      <c r="L144" s="101"/>
      <c r="M144" s="101"/>
      <c r="N144" s="101"/>
    </row>
    <row r="145" spans="5:14" x14ac:dyDescent="0.2">
      <c r="E145" s="101"/>
      <c r="F145" s="118"/>
      <c r="G145" s="101"/>
      <c r="H145" s="101"/>
      <c r="I145" s="101"/>
      <c r="J145" s="101"/>
      <c r="K145" s="101"/>
      <c r="L145" s="101"/>
      <c r="M145" s="101"/>
      <c r="N145" s="101"/>
    </row>
    <row r="146" spans="5:14" x14ac:dyDescent="0.2">
      <c r="E146" s="101"/>
      <c r="F146" s="118"/>
      <c r="G146" s="101"/>
      <c r="H146" s="101"/>
      <c r="I146" s="101"/>
      <c r="J146" s="101"/>
      <c r="K146" s="101"/>
      <c r="L146" s="101"/>
      <c r="M146" s="101"/>
      <c r="N146" s="101"/>
    </row>
    <row r="147" spans="5:14" x14ac:dyDescent="0.2">
      <c r="E147" s="101"/>
      <c r="F147" s="118"/>
      <c r="G147" s="101"/>
      <c r="H147" s="101"/>
      <c r="I147" s="101"/>
      <c r="J147" s="101"/>
      <c r="K147" s="101"/>
      <c r="L147" s="101"/>
      <c r="M147" s="101"/>
      <c r="N147" s="101"/>
    </row>
    <row r="148" spans="5:14" x14ac:dyDescent="0.2">
      <c r="E148" s="101"/>
      <c r="F148" s="118"/>
      <c r="G148" s="101"/>
      <c r="H148" s="101"/>
      <c r="I148" s="101"/>
      <c r="J148" s="101"/>
      <c r="K148" s="101"/>
      <c r="L148" s="101"/>
      <c r="M148" s="101"/>
      <c r="N148" s="101"/>
    </row>
    <row r="149" spans="5:14" x14ac:dyDescent="0.2">
      <c r="E149" s="101"/>
      <c r="F149" s="118"/>
      <c r="G149" s="101"/>
      <c r="H149" s="101"/>
      <c r="I149" s="101"/>
      <c r="J149" s="101"/>
      <c r="K149" s="101"/>
      <c r="L149" s="101"/>
      <c r="M149" s="101"/>
      <c r="N149" s="101"/>
    </row>
    <row r="150" spans="5:14" x14ac:dyDescent="0.2">
      <c r="E150" s="101"/>
      <c r="F150" s="118"/>
      <c r="G150" s="101"/>
      <c r="H150" s="101"/>
      <c r="I150" s="101"/>
      <c r="J150" s="101"/>
      <c r="K150" s="101"/>
      <c r="L150" s="101"/>
      <c r="M150" s="101"/>
      <c r="N150" s="101"/>
    </row>
    <row r="151" spans="5:14" x14ac:dyDescent="0.2">
      <c r="E151" s="101"/>
      <c r="F151" s="118"/>
      <c r="G151" s="101"/>
      <c r="H151" s="101"/>
      <c r="I151" s="101"/>
      <c r="J151" s="101"/>
      <c r="K151" s="101"/>
      <c r="L151" s="101"/>
      <c r="M151" s="101"/>
      <c r="N151" s="101"/>
    </row>
    <row r="152" spans="5:14" x14ac:dyDescent="0.2">
      <c r="E152" s="101"/>
      <c r="F152" s="118"/>
      <c r="G152" s="101"/>
      <c r="H152" s="101"/>
      <c r="I152" s="101"/>
      <c r="J152" s="101"/>
      <c r="K152" s="101"/>
      <c r="L152" s="101"/>
      <c r="M152" s="101"/>
      <c r="N152" s="101"/>
    </row>
    <row r="153" spans="5:14" x14ac:dyDescent="0.2">
      <c r="E153" s="101"/>
      <c r="F153" s="118"/>
      <c r="G153" s="101"/>
      <c r="H153" s="101"/>
      <c r="I153" s="101"/>
      <c r="J153" s="101"/>
      <c r="K153" s="101"/>
      <c r="L153" s="101"/>
      <c r="M153" s="101"/>
      <c r="N153" s="101"/>
    </row>
    <row r="154" spans="5:14" x14ac:dyDescent="0.2">
      <c r="E154" s="101"/>
      <c r="F154" s="118"/>
      <c r="G154" s="101"/>
      <c r="H154" s="101"/>
      <c r="I154" s="101"/>
      <c r="J154" s="101"/>
      <c r="K154" s="101"/>
      <c r="L154" s="101"/>
      <c r="M154" s="101"/>
      <c r="N154" s="101"/>
    </row>
    <row r="155" spans="5:14" x14ac:dyDescent="0.2">
      <c r="E155" s="101"/>
      <c r="F155" s="118"/>
      <c r="G155" s="101"/>
      <c r="H155" s="101"/>
      <c r="I155" s="101"/>
      <c r="J155" s="101"/>
      <c r="K155" s="101"/>
      <c r="L155" s="101"/>
      <c r="M155" s="101"/>
      <c r="N155" s="101"/>
    </row>
    <row r="156" spans="5:14" x14ac:dyDescent="0.2">
      <c r="E156" s="101"/>
      <c r="F156" s="118"/>
      <c r="G156" s="101"/>
      <c r="H156" s="101"/>
      <c r="I156" s="101"/>
      <c r="J156" s="101"/>
      <c r="K156" s="101"/>
      <c r="L156" s="101"/>
      <c r="M156" s="101"/>
      <c r="N156" s="101"/>
    </row>
    <row r="157" spans="5:14" x14ac:dyDescent="0.2">
      <c r="E157" s="101"/>
      <c r="F157" s="118"/>
      <c r="G157" s="101"/>
      <c r="H157" s="101"/>
      <c r="I157" s="101"/>
      <c r="J157" s="101"/>
      <c r="K157" s="101"/>
      <c r="L157" s="101"/>
      <c r="M157" s="101"/>
      <c r="N157" s="101"/>
    </row>
    <row r="158" spans="5:14" x14ac:dyDescent="0.2">
      <c r="E158" s="101"/>
      <c r="F158" s="118"/>
      <c r="G158" s="101"/>
      <c r="H158" s="101"/>
      <c r="I158" s="101"/>
      <c r="J158" s="101"/>
      <c r="K158" s="101"/>
      <c r="L158" s="101"/>
      <c r="M158" s="101"/>
      <c r="N158" s="101"/>
    </row>
    <row r="159" spans="5:14" x14ac:dyDescent="0.2">
      <c r="E159" s="101"/>
      <c r="F159" s="118"/>
      <c r="G159" s="101"/>
      <c r="H159" s="101"/>
      <c r="I159" s="101"/>
      <c r="J159" s="101"/>
      <c r="K159" s="101"/>
      <c r="L159" s="101"/>
      <c r="M159" s="101"/>
      <c r="N159" s="101"/>
    </row>
    <row r="160" spans="5:14" x14ac:dyDescent="0.2">
      <c r="E160" s="101"/>
      <c r="F160" s="118"/>
      <c r="G160" s="101"/>
      <c r="H160" s="101"/>
      <c r="I160" s="101"/>
      <c r="J160" s="101"/>
      <c r="K160" s="101"/>
      <c r="L160" s="101"/>
      <c r="M160" s="101"/>
      <c r="N160" s="101"/>
    </row>
    <row r="161" spans="5:14" x14ac:dyDescent="0.2">
      <c r="E161" s="101"/>
      <c r="F161" s="118"/>
      <c r="G161" s="101"/>
      <c r="H161" s="101"/>
      <c r="I161" s="101"/>
      <c r="J161" s="101"/>
      <c r="K161" s="101"/>
      <c r="L161" s="101"/>
      <c r="M161" s="101"/>
      <c r="N161" s="101"/>
    </row>
    <row r="162" spans="5:14" x14ac:dyDescent="0.2">
      <c r="E162" s="101"/>
      <c r="F162" s="118"/>
      <c r="G162" s="101"/>
      <c r="H162" s="101"/>
      <c r="I162" s="101"/>
      <c r="J162" s="101"/>
      <c r="K162" s="101"/>
      <c r="L162" s="101"/>
      <c r="M162" s="101"/>
      <c r="N162" s="101"/>
    </row>
    <row r="163" spans="5:14" x14ac:dyDescent="0.2">
      <c r="E163" s="101"/>
      <c r="F163" s="118"/>
      <c r="G163" s="101"/>
      <c r="H163" s="101"/>
      <c r="I163" s="101"/>
      <c r="J163" s="101"/>
      <c r="K163" s="101"/>
      <c r="L163" s="101"/>
      <c r="M163" s="101"/>
      <c r="N163" s="101"/>
    </row>
    <row r="164" spans="5:14" x14ac:dyDescent="0.2">
      <c r="E164" s="101"/>
      <c r="F164" s="118"/>
      <c r="G164" s="101"/>
      <c r="H164" s="101"/>
      <c r="I164" s="101"/>
      <c r="J164" s="101"/>
      <c r="K164" s="101"/>
      <c r="L164" s="101"/>
      <c r="M164" s="101"/>
      <c r="N164" s="101"/>
    </row>
  </sheetData>
  <mergeCells count="2">
    <mergeCell ref="E2:F2"/>
    <mergeCell ref="H2:I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0B94C-A686-1D4D-8025-4C8E137EE314}">
  <dimension ref="A2:M150"/>
  <sheetViews>
    <sheetView zoomScale="150" workbookViewId="0">
      <selection activeCell="G26" sqref="G26"/>
    </sheetView>
  </sheetViews>
  <sheetFormatPr baseColWidth="10" defaultColWidth="10.83203125" defaultRowHeight="16" outlineLevelCol="1" x14ac:dyDescent="0.2"/>
  <cols>
    <col min="1" max="1" width="4.1640625" customWidth="1"/>
    <col min="2" max="2" width="3.33203125" customWidth="1"/>
    <col min="3" max="3" width="41.83203125" customWidth="1"/>
    <col min="4" max="4" width="11.1640625" bestFit="1" customWidth="1"/>
    <col min="5" max="5" width="11.5" style="119" bestFit="1" customWidth="1"/>
    <col min="6" max="6" width="3.5" customWidth="1"/>
    <col min="7" max="7" width="14" bestFit="1" customWidth="1"/>
    <col min="8" max="8" width="11.5" bestFit="1" customWidth="1"/>
    <col min="9" max="9" width="3.33203125" hidden="1" customWidth="1" outlineLevel="1"/>
    <col min="10" max="10" width="9.1640625" hidden="1" customWidth="1" outlineLevel="1"/>
    <col min="11" max="11" width="9.83203125" hidden="1" customWidth="1" outlineLevel="1"/>
    <col min="12" max="12" width="3.33203125" customWidth="1" collapsed="1"/>
    <col min="13" max="13" width="55.83203125" customWidth="1"/>
  </cols>
  <sheetData>
    <row r="2" spans="1:13" s="3" customFormat="1" x14ac:dyDescent="0.2">
      <c r="C2" s="3" t="s">
        <v>23</v>
      </c>
      <c r="D2" s="691" t="s">
        <v>130</v>
      </c>
      <c r="E2" s="691"/>
      <c r="G2" s="691">
        <v>2024</v>
      </c>
      <c r="H2" s="691"/>
      <c r="I2" s="4"/>
      <c r="J2" s="4"/>
      <c r="K2" s="4"/>
    </row>
    <row r="3" spans="1:13" s="3" customFormat="1" x14ac:dyDescent="0.2">
      <c r="D3" s="323" t="s">
        <v>39</v>
      </c>
      <c r="E3" s="353" t="s">
        <v>40</v>
      </c>
      <c r="G3" s="323" t="s">
        <v>39</v>
      </c>
      <c r="H3" s="323" t="s">
        <v>40</v>
      </c>
      <c r="I3" s="4"/>
      <c r="J3" s="4" t="s">
        <v>151</v>
      </c>
      <c r="K3" s="4" t="s">
        <v>152</v>
      </c>
      <c r="M3" s="3" t="s">
        <v>138</v>
      </c>
    </row>
    <row r="4" spans="1:13" x14ac:dyDescent="0.2">
      <c r="A4" s="107"/>
      <c r="B4" s="107"/>
      <c r="C4" s="107"/>
      <c r="D4" s="112"/>
      <c r="E4" s="117"/>
      <c r="F4" s="107"/>
      <c r="G4" s="112"/>
      <c r="H4" s="112"/>
      <c r="I4" s="112"/>
      <c r="J4" s="112"/>
      <c r="K4" s="112"/>
      <c r="L4" s="107"/>
      <c r="M4" s="107"/>
    </row>
    <row r="5" spans="1:13" x14ac:dyDescent="0.2">
      <c r="B5" t="s">
        <v>119</v>
      </c>
      <c r="D5" s="101"/>
      <c r="E5" s="118"/>
      <c r="F5" s="101"/>
      <c r="G5" s="101"/>
      <c r="H5" s="101"/>
      <c r="I5" s="101"/>
      <c r="J5" s="101"/>
      <c r="K5" s="101"/>
      <c r="L5" s="101"/>
      <c r="M5" s="101"/>
    </row>
    <row r="6" spans="1:13" x14ac:dyDescent="0.2">
      <c r="C6" t="s">
        <v>491</v>
      </c>
      <c r="D6" s="113">
        <v>30190</v>
      </c>
      <c r="E6" s="121">
        <f>D6/rate</f>
        <v>377.375</v>
      </c>
      <c r="F6" s="101"/>
      <c r="G6" s="301">
        <f>+'Legacy Education - Haejin'!O25</f>
        <v>184800</v>
      </c>
      <c r="H6" s="121">
        <f>G6/rate</f>
        <v>2310</v>
      </c>
      <c r="I6" s="121"/>
      <c r="J6" s="121">
        <f>H6-E6</f>
        <v>1932.625</v>
      </c>
      <c r="K6" s="123">
        <f>H6/E6-1</f>
        <v>5.1212321960914213</v>
      </c>
      <c r="L6" s="101"/>
      <c r="M6" s="101"/>
    </row>
    <row r="7" spans="1:13" x14ac:dyDescent="0.2">
      <c r="C7" t="s">
        <v>121</v>
      </c>
      <c r="D7" s="113">
        <v>392549</v>
      </c>
      <c r="E7" s="121">
        <f>D7/rate</f>
        <v>4906.8625000000002</v>
      </c>
      <c r="F7" s="101"/>
      <c r="G7" s="301">
        <v>0</v>
      </c>
      <c r="H7" s="121">
        <f>G7/rate</f>
        <v>0</v>
      </c>
      <c r="I7" s="121"/>
      <c r="J7" s="121">
        <f>H7-E7</f>
        <v>-4906.8625000000002</v>
      </c>
      <c r="K7" s="123">
        <f>H7/E7-1</f>
        <v>-1</v>
      </c>
      <c r="L7" s="101"/>
      <c r="M7" s="101"/>
    </row>
    <row r="8" spans="1:13" x14ac:dyDescent="0.2">
      <c r="C8" t="s">
        <v>492</v>
      </c>
      <c r="D8" s="116">
        <v>0</v>
      </c>
      <c r="E8" s="121">
        <f>D8/rate</f>
        <v>0</v>
      </c>
      <c r="F8" s="101"/>
      <c r="G8" s="507">
        <f>+'Legacy Education - Haejin'!O27</f>
        <v>72000</v>
      </c>
      <c r="H8" s="121">
        <f>G8/rate</f>
        <v>900</v>
      </c>
      <c r="I8" s="121"/>
      <c r="J8" s="121">
        <f>H8-E8</f>
        <v>900</v>
      </c>
      <c r="K8" s="124" t="s">
        <v>153</v>
      </c>
      <c r="L8" s="101"/>
      <c r="M8" s="101"/>
    </row>
    <row r="9" spans="1:13" x14ac:dyDescent="0.2">
      <c r="B9" t="s">
        <v>131</v>
      </c>
      <c r="C9" s="107"/>
      <c r="D9" s="114">
        <f>SUM(D6:D8)</f>
        <v>422739</v>
      </c>
      <c r="E9" s="122">
        <f>SUM(E6:E8)</f>
        <v>5284.2375000000002</v>
      </c>
      <c r="F9" s="108"/>
      <c r="G9" s="114">
        <f>SUM(G6:G8)</f>
        <v>256800</v>
      </c>
      <c r="H9" s="122">
        <f>SUM(H6:H8)</f>
        <v>3210</v>
      </c>
      <c r="I9" s="122"/>
      <c r="J9" s="122">
        <f>H9-E9</f>
        <v>-2074.2375000000002</v>
      </c>
      <c r="K9" s="125">
        <f>H9/E9-1</f>
        <v>-0.39253298134309822</v>
      </c>
      <c r="L9" s="101"/>
      <c r="M9" s="101"/>
    </row>
    <row r="10" spans="1:13" x14ac:dyDescent="0.2">
      <c r="D10" s="115"/>
      <c r="E10" s="121"/>
      <c r="F10" s="101"/>
      <c r="G10" s="101"/>
      <c r="H10" s="121"/>
      <c r="I10" s="121"/>
      <c r="J10" s="121"/>
      <c r="K10" s="121"/>
      <c r="L10" s="101"/>
      <c r="M10" s="101"/>
    </row>
    <row r="11" spans="1:13" x14ac:dyDescent="0.2">
      <c r="B11" t="s">
        <v>118</v>
      </c>
      <c r="D11" s="115" t="s">
        <v>23</v>
      </c>
      <c r="E11" s="121"/>
      <c r="F11" s="101"/>
      <c r="G11" s="101"/>
      <c r="H11" s="121"/>
      <c r="I11" s="121"/>
      <c r="J11" s="121"/>
      <c r="K11" s="121"/>
      <c r="L11" s="101"/>
      <c r="M11" s="101"/>
    </row>
    <row r="12" spans="1:13" x14ac:dyDescent="0.2">
      <c r="C12" t="s">
        <v>404</v>
      </c>
      <c r="D12" s="113">
        <v>768918</v>
      </c>
      <c r="E12" s="121">
        <f>D12/rate</f>
        <v>9611.4750000000004</v>
      </c>
      <c r="F12" s="101"/>
      <c r="G12" s="113">
        <v>652282</v>
      </c>
      <c r="H12" s="121">
        <f>G12/rate</f>
        <v>8153.5249999999996</v>
      </c>
      <c r="I12" s="121"/>
      <c r="J12" s="121">
        <f>H12-E12</f>
        <v>-1457.9500000000007</v>
      </c>
      <c r="K12" s="123">
        <f>H12/E12-1</f>
        <v>-0.15168847653455897</v>
      </c>
      <c r="L12" s="101"/>
      <c r="M12" s="101"/>
    </row>
    <row r="13" spans="1:13" x14ac:dyDescent="0.2">
      <c r="C13" t="s">
        <v>402</v>
      </c>
      <c r="D13" s="113">
        <v>35950</v>
      </c>
      <c r="E13" s="121">
        <f>D13/rate</f>
        <v>449.375</v>
      </c>
      <c r="F13" s="101"/>
      <c r="G13" s="113">
        <v>213950</v>
      </c>
      <c r="H13" s="121">
        <f>G13/rate</f>
        <v>2674.375</v>
      </c>
      <c r="I13" s="121"/>
      <c r="J13" s="121">
        <f>H13-E13</f>
        <v>2225</v>
      </c>
      <c r="K13" s="123">
        <f>H13/E13-1</f>
        <v>4.9513212795549375</v>
      </c>
      <c r="L13" s="101"/>
      <c r="M13" s="101"/>
    </row>
    <row r="14" spans="1:13" x14ac:dyDescent="0.2">
      <c r="C14" t="s">
        <v>403</v>
      </c>
      <c r="D14" s="113">
        <v>42900</v>
      </c>
      <c r="E14" s="121">
        <f>D14/rate</f>
        <v>536.25</v>
      </c>
      <c r="F14" s="101"/>
      <c r="G14" s="113">
        <v>42900</v>
      </c>
      <c r="H14" s="121">
        <f>G14/rate</f>
        <v>536.25</v>
      </c>
      <c r="I14" s="121"/>
      <c r="J14" s="121">
        <f>H14-E14</f>
        <v>0</v>
      </c>
      <c r="K14" s="124" t="s">
        <v>153</v>
      </c>
      <c r="L14" s="101"/>
      <c r="M14" s="101"/>
    </row>
    <row r="15" spans="1:13" x14ac:dyDescent="0.2">
      <c r="C15" s="107"/>
      <c r="D15" s="114">
        <f>SUM(D12:D14)</f>
        <v>847768</v>
      </c>
      <c r="E15" s="122">
        <f>SUM(E12:E14)</f>
        <v>10597.1</v>
      </c>
      <c r="F15" s="108"/>
      <c r="G15" s="114">
        <f>SUM(G12:G14)</f>
        <v>909132</v>
      </c>
      <c r="H15" s="122">
        <f>SUM(H12:H14)</f>
        <v>11364.15</v>
      </c>
      <c r="I15" s="114"/>
      <c r="J15" s="122">
        <f>H15-E15</f>
        <v>767.04999999999927</v>
      </c>
      <c r="K15" s="125">
        <f>H15/E15-1</f>
        <v>7.238301044625417E-2</v>
      </c>
      <c r="L15" s="101"/>
      <c r="M15" s="101"/>
    </row>
    <row r="16" spans="1:13" x14ac:dyDescent="0.2">
      <c r="D16" s="115"/>
      <c r="E16" s="118"/>
      <c r="F16" s="101"/>
      <c r="G16" s="101"/>
      <c r="H16" s="101"/>
      <c r="I16" s="101"/>
      <c r="J16" s="101"/>
      <c r="K16" s="101"/>
      <c r="L16" s="101"/>
      <c r="M16" s="101"/>
    </row>
    <row r="17" spans="2:13" x14ac:dyDescent="0.2">
      <c r="B17" t="s">
        <v>126</v>
      </c>
      <c r="D17" s="115"/>
      <c r="E17" s="118"/>
      <c r="F17" s="101"/>
      <c r="G17" s="101"/>
      <c r="H17" s="101"/>
      <c r="I17" s="101"/>
      <c r="J17" s="101"/>
      <c r="K17" s="101"/>
      <c r="L17" s="101"/>
      <c r="M17" s="101"/>
    </row>
    <row r="18" spans="2:13" x14ac:dyDescent="0.2">
      <c r="C18" t="s">
        <v>382</v>
      </c>
      <c r="D18" s="301">
        <f>+(D15+D9)*10%</f>
        <v>127050.70000000001</v>
      </c>
      <c r="E18" s="121">
        <f>D18/rate</f>
        <v>1588.1337500000002</v>
      </c>
      <c r="F18" s="101"/>
      <c r="G18" s="301">
        <f>+(G15+G9)*10%</f>
        <v>116593.20000000001</v>
      </c>
      <c r="H18" s="121">
        <f>G18/rate</f>
        <v>1457.4150000000002</v>
      </c>
      <c r="I18" s="101"/>
      <c r="J18" s="101"/>
      <c r="K18" s="101"/>
      <c r="L18" s="101"/>
      <c r="M18" s="101"/>
    </row>
    <row r="19" spans="2:13" x14ac:dyDescent="0.2">
      <c r="C19" s="107"/>
      <c r="D19" s="114">
        <f>D18</f>
        <v>127050.70000000001</v>
      </c>
      <c r="E19" s="122">
        <f>E18</f>
        <v>1588.1337500000002</v>
      </c>
      <c r="F19" s="108"/>
      <c r="G19" s="114">
        <f>G18</f>
        <v>116593.20000000001</v>
      </c>
      <c r="H19" s="122">
        <f>SUM(H18)</f>
        <v>1457.4150000000002</v>
      </c>
      <c r="I19" s="101"/>
      <c r="J19" s="101"/>
      <c r="K19" s="101"/>
      <c r="L19" s="101"/>
      <c r="M19" s="101"/>
    </row>
    <row r="20" spans="2:13" x14ac:dyDescent="0.2">
      <c r="D20" s="115"/>
      <c r="E20" s="118"/>
      <c r="F20" s="101"/>
      <c r="G20" s="101"/>
      <c r="H20" s="101"/>
      <c r="I20" s="101"/>
      <c r="J20" s="101"/>
      <c r="K20" s="101"/>
      <c r="L20" s="101"/>
      <c r="M20" s="101"/>
    </row>
    <row r="21" spans="2:13" x14ac:dyDescent="0.2">
      <c r="B21" s="3" t="s">
        <v>383</v>
      </c>
      <c r="C21" s="3"/>
      <c r="D21" s="302">
        <f>+D19+D15+D9</f>
        <v>1397557.7</v>
      </c>
      <c r="E21" s="303">
        <f>+E19+E15+E9</f>
        <v>17469.471250000002</v>
      </c>
      <c r="F21" s="188"/>
      <c r="G21" s="302">
        <f>+G19+G15+G9</f>
        <v>1282525.2</v>
      </c>
      <c r="H21" s="303">
        <f>+H19+H15+H9</f>
        <v>16031.565000000001</v>
      </c>
      <c r="I21" s="188"/>
      <c r="J21" s="188"/>
      <c r="K21" s="188"/>
      <c r="L21" s="188"/>
      <c r="M21" s="101"/>
    </row>
    <row r="22" spans="2:13" x14ac:dyDescent="0.2">
      <c r="D22" s="101"/>
      <c r="E22" s="118"/>
      <c r="F22" s="101"/>
      <c r="G22" s="101"/>
      <c r="H22" s="101"/>
      <c r="I22" s="101"/>
      <c r="J22" s="101"/>
      <c r="K22" s="101"/>
      <c r="L22" s="101"/>
      <c r="M22" s="101"/>
    </row>
    <row r="23" spans="2:13" x14ac:dyDescent="0.2">
      <c r="D23" s="101"/>
      <c r="E23" s="118"/>
      <c r="F23" s="101"/>
      <c r="G23" s="101"/>
      <c r="H23" s="101"/>
      <c r="I23" s="101"/>
      <c r="J23" s="101"/>
      <c r="K23" s="101"/>
      <c r="L23" s="101"/>
      <c r="M23" s="101"/>
    </row>
    <row r="24" spans="2:13" x14ac:dyDescent="0.2">
      <c r="D24" s="101"/>
      <c r="E24" s="118"/>
      <c r="F24" s="101"/>
      <c r="G24" s="101"/>
      <c r="H24" s="101"/>
      <c r="I24" s="101"/>
      <c r="J24" s="101"/>
      <c r="K24" s="101"/>
      <c r="L24" s="101"/>
      <c r="M24" s="101"/>
    </row>
    <row r="25" spans="2:13" x14ac:dyDescent="0.2">
      <c r="D25" s="101"/>
      <c r="E25" s="118"/>
      <c r="F25" s="101"/>
      <c r="G25" s="101"/>
      <c r="H25" s="101"/>
      <c r="I25" s="101"/>
      <c r="J25" s="101"/>
      <c r="K25" s="101"/>
      <c r="L25" s="101"/>
      <c r="M25" s="101"/>
    </row>
    <row r="26" spans="2:13" x14ac:dyDescent="0.2">
      <c r="D26" s="101"/>
      <c r="E26" s="118"/>
      <c r="F26" s="101"/>
      <c r="G26" s="101"/>
      <c r="H26" s="101"/>
      <c r="I26" s="101"/>
      <c r="J26" s="101"/>
      <c r="K26" s="101"/>
      <c r="L26" s="101"/>
      <c r="M26" s="101"/>
    </row>
    <row r="27" spans="2:13" x14ac:dyDescent="0.2">
      <c r="D27" s="101"/>
      <c r="E27" s="118"/>
      <c r="F27" s="101"/>
      <c r="G27" s="101"/>
      <c r="H27" s="101"/>
      <c r="I27" s="101"/>
      <c r="J27" s="101"/>
      <c r="K27" s="101"/>
      <c r="L27" s="101"/>
      <c r="M27" s="101"/>
    </row>
    <row r="28" spans="2:13" x14ac:dyDescent="0.2">
      <c r="D28" s="101"/>
      <c r="E28" s="118"/>
      <c r="F28" s="101"/>
      <c r="G28" s="101"/>
      <c r="H28" s="101"/>
      <c r="I28" s="101"/>
      <c r="J28" s="101"/>
      <c r="K28" s="101"/>
      <c r="L28" s="101"/>
      <c r="M28" s="101"/>
    </row>
    <row r="29" spans="2:13" x14ac:dyDescent="0.2">
      <c r="D29" s="101"/>
      <c r="E29" s="118"/>
      <c r="F29" s="101"/>
      <c r="G29" s="101"/>
      <c r="H29" s="101"/>
      <c r="I29" s="101"/>
      <c r="J29" s="101"/>
      <c r="K29" s="101"/>
      <c r="L29" s="101"/>
      <c r="M29" s="101"/>
    </row>
    <row r="30" spans="2:13" x14ac:dyDescent="0.2">
      <c r="D30" s="101"/>
      <c r="E30" s="118"/>
      <c r="F30" s="101"/>
      <c r="G30" s="101"/>
      <c r="H30" s="101"/>
      <c r="I30" s="101"/>
      <c r="J30" s="101"/>
      <c r="K30" s="101"/>
      <c r="L30" s="101"/>
      <c r="M30" s="101"/>
    </row>
    <row r="31" spans="2:13" x14ac:dyDescent="0.2">
      <c r="D31" s="101"/>
      <c r="E31" s="118"/>
      <c r="F31" s="101"/>
      <c r="G31" s="101"/>
      <c r="H31" s="101"/>
      <c r="I31" s="101"/>
      <c r="J31" s="101"/>
      <c r="K31" s="101"/>
      <c r="L31" s="101"/>
      <c r="M31" s="101"/>
    </row>
    <row r="32" spans="2:13" x14ac:dyDescent="0.2">
      <c r="D32" s="101"/>
      <c r="E32" s="118"/>
      <c r="F32" s="101"/>
      <c r="G32" s="101"/>
      <c r="H32" s="101"/>
      <c r="I32" s="101"/>
      <c r="J32" s="101"/>
      <c r="K32" s="101"/>
      <c r="L32" s="101"/>
      <c r="M32" s="101"/>
    </row>
    <row r="33" spans="4:13" x14ac:dyDescent="0.2">
      <c r="D33" s="101"/>
      <c r="E33" s="118"/>
      <c r="F33" s="101"/>
      <c r="G33" s="101"/>
      <c r="H33" s="101"/>
      <c r="I33" s="101"/>
      <c r="J33" s="101"/>
      <c r="K33" s="101"/>
      <c r="L33" s="101"/>
      <c r="M33" s="101"/>
    </row>
    <row r="34" spans="4:13" x14ac:dyDescent="0.2">
      <c r="D34" s="101"/>
      <c r="E34" s="118"/>
      <c r="F34" s="101"/>
      <c r="G34" s="101"/>
      <c r="H34" s="101"/>
      <c r="I34" s="101"/>
      <c r="J34" s="101"/>
      <c r="K34" s="101"/>
      <c r="L34" s="101"/>
      <c r="M34" s="101"/>
    </row>
    <row r="35" spans="4:13" x14ac:dyDescent="0.2">
      <c r="D35" s="101"/>
      <c r="E35" s="118"/>
      <c r="F35" s="101"/>
      <c r="G35" s="101"/>
      <c r="H35" s="101"/>
      <c r="I35" s="101"/>
      <c r="J35" s="101"/>
      <c r="K35" s="101"/>
      <c r="L35" s="101"/>
      <c r="M35" s="101"/>
    </row>
    <row r="36" spans="4:13" x14ac:dyDescent="0.2">
      <c r="D36" s="101"/>
      <c r="E36" s="118"/>
      <c r="F36" s="101"/>
      <c r="G36" s="101"/>
      <c r="H36" s="101"/>
      <c r="I36" s="101"/>
      <c r="J36" s="101"/>
      <c r="K36" s="101"/>
      <c r="L36" s="101"/>
      <c r="M36" s="101"/>
    </row>
    <row r="37" spans="4:13" x14ac:dyDescent="0.2">
      <c r="D37" s="101"/>
      <c r="E37" s="118"/>
      <c r="F37" s="101"/>
      <c r="G37" s="101"/>
      <c r="H37" s="101"/>
      <c r="I37" s="101"/>
      <c r="J37" s="101"/>
      <c r="K37" s="101"/>
      <c r="L37" s="101"/>
      <c r="M37" s="101"/>
    </row>
    <row r="38" spans="4:13" x14ac:dyDescent="0.2">
      <c r="D38" s="101"/>
      <c r="E38" s="118"/>
      <c r="F38" s="101"/>
      <c r="G38" s="101"/>
      <c r="H38" s="101"/>
      <c r="I38" s="101"/>
      <c r="J38" s="101"/>
      <c r="K38" s="101"/>
      <c r="L38" s="101"/>
      <c r="M38" s="101"/>
    </row>
    <row r="39" spans="4:13" x14ac:dyDescent="0.2">
      <c r="D39" s="101"/>
      <c r="E39" s="118"/>
      <c r="F39" s="101"/>
      <c r="G39" s="101"/>
      <c r="H39" s="101"/>
      <c r="I39" s="101"/>
      <c r="J39" s="101"/>
      <c r="K39" s="101"/>
      <c r="L39" s="101"/>
      <c r="M39" s="101"/>
    </row>
    <row r="40" spans="4:13" x14ac:dyDescent="0.2">
      <c r="D40" s="101"/>
      <c r="E40" s="118"/>
      <c r="F40" s="101"/>
      <c r="G40" s="101"/>
      <c r="H40" s="101"/>
      <c r="I40" s="101"/>
      <c r="J40" s="101"/>
      <c r="K40" s="101"/>
      <c r="L40" s="101"/>
      <c r="M40" s="101"/>
    </row>
    <row r="41" spans="4:13" x14ac:dyDescent="0.2">
      <c r="D41" s="101"/>
      <c r="E41" s="118"/>
      <c r="F41" s="101"/>
      <c r="G41" s="101"/>
      <c r="H41" s="101"/>
      <c r="I41" s="101"/>
      <c r="J41" s="101"/>
      <c r="K41" s="101"/>
      <c r="L41" s="101"/>
      <c r="M41" s="101"/>
    </row>
    <row r="42" spans="4:13" x14ac:dyDescent="0.2">
      <c r="D42" s="101"/>
      <c r="E42" s="118"/>
      <c r="F42" s="101"/>
      <c r="G42" s="101"/>
      <c r="H42" s="101"/>
      <c r="I42" s="101"/>
      <c r="J42" s="101"/>
      <c r="K42" s="101"/>
      <c r="L42" s="101"/>
      <c r="M42" s="101"/>
    </row>
    <row r="43" spans="4:13" x14ac:dyDescent="0.2">
      <c r="D43" s="101"/>
      <c r="E43" s="118"/>
      <c r="F43" s="101"/>
      <c r="G43" s="101"/>
      <c r="H43" s="101"/>
      <c r="I43" s="101"/>
      <c r="J43" s="101"/>
      <c r="K43" s="101"/>
      <c r="L43" s="101"/>
      <c r="M43" s="101"/>
    </row>
    <row r="44" spans="4:13" x14ac:dyDescent="0.2">
      <c r="D44" s="101"/>
      <c r="E44" s="118"/>
      <c r="F44" s="101"/>
      <c r="G44" s="101"/>
      <c r="H44" s="101"/>
      <c r="I44" s="101"/>
      <c r="J44" s="101"/>
      <c r="K44" s="101"/>
      <c r="L44" s="101"/>
      <c r="M44" s="101"/>
    </row>
    <row r="45" spans="4:13" x14ac:dyDescent="0.2">
      <c r="D45" s="101"/>
      <c r="E45" s="118"/>
      <c r="F45" s="101"/>
      <c r="G45" s="101"/>
      <c r="H45" s="101"/>
      <c r="I45" s="101"/>
      <c r="J45" s="101"/>
      <c r="K45" s="101"/>
      <c r="L45" s="101"/>
      <c r="M45" s="101"/>
    </row>
    <row r="46" spans="4:13" x14ac:dyDescent="0.2">
      <c r="D46" s="101"/>
      <c r="E46" s="118"/>
      <c r="F46" s="101"/>
      <c r="G46" s="101"/>
      <c r="H46" s="101"/>
      <c r="I46" s="101"/>
      <c r="J46" s="101"/>
      <c r="K46" s="101"/>
      <c r="L46" s="101"/>
      <c r="M46" s="101"/>
    </row>
    <row r="47" spans="4:13" x14ac:dyDescent="0.2">
      <c r="D47" s="101"/>
      <c r="E47" s="118"/>
      <c r="F47" s="101"/>
      <c r="G47" s="101"/>
      <c r="H47" s="101"/>
      <c r="I47" s="101"/>
      <c r="J47" s="101"/>
      <c r="K47" s="101"/>
      <c r="L47" s="101"/>
      <c r="M47" s="101"/>
    </row>
    <row r="48" spans="4:13" x14ac:dyDescent="0.2">
      <c r="D48" s="101"/>
      <c r="E48" s="118"/>
      <c r="F48" s="101"/>
      <c r="G48" s="101"/>
      <c r="H48" s="101"/>
      <c r="I48" s="101"/>
      <c r="J48" s="101"/>
      <c r="K48" s="101"/>
      <c r="L48" s="101"/>
      <c r="M48" s="101"/>
    </row>
    <row r="49" spans="4:13" x14ac:dyDescent="0.2">
      <c r="D49" s="101"/>
      <c r="E49" s="118"/>
      <c r="F49" s="101"/>
      <c r="G49" s="101"/>
      <c r="H49" s="101"/>
      <c r="I49" s="101"/>
      <c r="J49" s="101"/>
      <c r="K49" s="101"/>
      <c r="L49" s="101"/>
      <c r="M49" s="101"/>
    </row>
    <row r="50" spans="4:13" x14ac:dyDescent="0.2">
      <c r="D50" s="101"/>
      <c r="E50" s="118"/>
      <c r="F50" s="101"/>
      <c r="G50" s="101"/>
      <c r="H50" s="101"/>
      <c r="I50" s="101"/>
      <c r="J50" s="101"/>
      <c r="K50" s="101"/>
      <c r="L50" s="101"/>
      <c r="M50" s="101"/>
    </row>
    <row r="51" spans="4:13" x14ac:dyDescent="0.2">
      <c r="D51" s="101"/>
      <c r="E51" s="118"/>
      <c r="F51" s="101"/>
      <c r="G51" s="101"/>
      <c r="H51" s="101"/>
      <c r="I51" s="101"/>
      <c r="J51" s="101"/>
      <c r="K51" s="101"/>
      <c r="L51" s="101"/>
      <c r="M51" s="101"/>
    </row>
    <row r="52" spans="4:13" x14ac:dyDescent="0.2">
      <c r="D52" s="101"/>
      <c r="E52" s="118"/>
      <c r="F52" s="101"/>
      <c r="G52" s="101"/>
      <c r="H52" s="101"/>
      <c r="I52" s="101"/>
      <c r="J52" s="101"/>
      <c r="K52" s="101"/>
      <c r="L52" s="101"/>
      <c r="M52" s="101"/>
    </row>
    <row r="53" spans="4:13" x14ac:dyDescent="0.2">
      <c r="D53" s="101"/>
      <c r="E53" s="118"/>
      <c r="F53" s="101"/>
      <c r="G53" s="101"/>
      <c r="H53" s="101"/>
      <c r="I53" s="101"/>
      <c r="J53" s="101"/>
      <c r="K53" s="101"/>
      <c r="L53" s="101"/>
      <c r="M53" s="101"/>
    </row>
    <row r="54" spans="4:13" x14ac:dyDescent="0.2">
      <c r="D54" s="101"/>
      <c r="E54" s="118"/>
      <c r="F54" s="101"/>
      <c r="G54" s="101"/>
      <c r="H54" s="101"/>
      <c r="I54" s="101"/>
      <c r="J54" s="101"/>
      <c r="K54" s="101"/>
      <c r="L54" s="101"/>
      <c r="M54" s="101"/>
    </row>
    <row r="55" spans="4:13" x14ac:dyDescent="0.2">
      <c r="D55" s="101"/>
      <c r="E55" s="118"/>
      <c r="F55" s="101"/>
      <c r="G55" s="101"/>
      <c r="H55" s="101"/>
      <c r="I55" s="101"/>
      <c r="J55" s="101"/>
      <c r="K55" s="101"/>
      <c r="L55" s="101"/>
      <c r="M55" s="101"/>
    </row>
    <row r="56" spans="4:13" x14ac:dyDescent="0.2">
      <c r="D56" s="101"/>
      <c r="E56" s="118"/>
      <c r="F56" s="101"/>
      <c r="G56" s="101"/>
      <c r="H56" s="101"/>
      <c r="I56" s="101"/>
      <c r="J56" s="101"/>
      <c r="K56" s="101"/>
      <c r="L56" s="101"/>
      <c r="M56" s="101"/>
    </row>
    <row r="57" spans="4:13" x14ac:dyDescent="0.2">
      <c r="D57" s="101"/>
      <c r="E57" s="118"/>
      <c r="F57" s="101"/>
      <c r="G57" s="101"/>
      <c r="H57" s="101"/>
      <c r="I57" s="101"/>
      <c r="J57" s="101"/>
      <c r="K57" s="101"/>
      <c r="L57" s="101"/>
      <c r="M57" s="101"/>
    </row>
    <row r="58" spans="4:13" x14ac:dyDescent="0.2">
      <c r="D58" s="101"/>
      <c r="E58" s="118"/>
      <c r="F58" s="101"/>
      <c r="G58" s="101"/>
      <c r="H58" s="101"/>
      <c r="I58" s="101"/>
      <c r="J58" s="101"/>
      <c r="K58" s="101"/>
      <c r="L58" s="101"/>
      <c r="M58" s="101"/>
    </row>
    <row r="59" spans="4:13" x14ac:dyDescent="0.2">
      <c r="D59" s="101"/>
      <c r="E59" s="118"/>
      <c r="F59" s="101"/>
      <c r="G59" s="101"/>
      <c r="H59" s="101"/>
      <c r="I59" s="101"/>
      <c r="J59" s="101"/>
      <c r="K59" s="101"/>
      <c r="L59" s="101"/>
      <c r="M59" s="101"/>
    </row>
    <row r="60" spans="4:13" x14ac:dyDescent="0.2">
      <c r="D60" s="101"/>
      <c r="E60" s="118"/>
      <c r="F60" s="101"/>
      <c r="G60" s="101"/>
      <c r="H60" s="101"/>
      <c r="I60" s="101"/>
      <c r="J60" s="101"/>
      <c r="K60" s="101"/>
      <c r="L60" s="101"/>
      <c r="M60" s="101"/>
    </row>
    <row r="61" spans="4:13" x14ac:dyDescent="0.2">
      <c r="D61" s="101"/>
      <c r="E61" s="118"/>
      <c r="F61" s="101"/>
      <c r="G61" s="101"/>
      <c r="H61" s="101"/>
      <c r="I61" s="101"/>
      <c r="J61" s="101"/>
      <c r="K61" s="101"/>
      <c r="L61" s="101"/>
      <c r="M61" s="101"/>
    </row>
    <row r="62" spans="4:13" x14ac:dyDescent="0.2">
      <c r="D62" s="101"/>
      <c r="E62" s="118"/>
      <c r="F62" s="101"/>
      <c r="G62" s="101"/>
      <c r="H62" s="101"/>
      <c r="I62" s="101"/>
      <c r="J62" s="101"/>
      <c r="K62" s="101"/>
      <c r="L62" s="101"/>
      <c r="M62" s="101"/>
    </row>
    <row r="63" spans="4:13" x14ac:dyDescent="0.2">
      <c r="D63" s="101"/>
      <c r="E63" s="118"/>
      <c r="F63" s="101"/>
      <c r="G63" s="101"/>
      <c r="H63" s="101"/>
      <c r="I63" s="101"/>
      <c r="J63" s="101"/>
      <c r="K63" s="101"/>
      <c r="L63" s="101"/>
      <c r="M63" s="101"/>
    </row>
    <row r="64" spans="4:13" x14ac:dyDescent="0.2">
      <c r="D64" s="101"/>
      <c r="E64" s="118"/>
      <c r="F64" s="101"/>
      <c r="G64" s="101"/>
      <c r="H64" s="101"/>
      <c r="I64" s="101"/>
      <c r="J64" s="101"/>
      <c r="K64" s="101"/>
      <c r="L64" s="101"/>
      <c r="M64" s="101"/>
    </row>
    <row r="65" spans="4:13" x14ac:dyDescent="0.2">
      <c r="D65" s="101"/>
      <c r="E65" s="118"/>
      <c r="F65" s="101"/>
      <c r="G65" s="101"/>
      <c r="H65" s="101"/>
      <c r="I65" s="101"/>
      <c r="J65" s="101"/>
      <c r="K65" s="101"/>
      <c r="L65" s="101"/>
      <c r="M65" s="101"/>
    </row>
    <row r="66" spans="4:13" x14ac:dyDescent="0.2">
      <c r="D66" s="101"/>
      <c r="E66" s="118"/>
      <c r="F66" s="101"/>
      <c r="G66" s="101"/>
      <c r="H66" s="101"/>
      <c r="I66" s="101"/>
      <c r="J66" s="101"/>
      <c r="K66" s="101"/>
      <c r="L66" s="101"/>
      <c r="M66" s="101"/>
    </row>
    <row r="67" spans="4:13" x14ac:dyDescent="0.2">
      <c r="D67" s="101"/>
      <c r="E67" s="118"/>
      <c r="F67" s="101"/>
      <c r="G67" s="101"/>
      <c r="H67" s="101"/>
      <c r="I67" s="101"/>
      <c r="J67" s="101"/>
      <c r="K67" s="101"/>
      <c r="L67" s="101"/>
      <c r="M67" s="101"/>
    </row>
    <row r="68" spans="4:13" x14ac:dyDescent="0.2">
      <c r="D68" s="101"/>
      <c r="E68" s="118"/>
      <c r="F68" s="101"/>
      <c r="G68" s="101"/>
      <c r="H68" s="101"/>
      <c r="I68" s="101"/>
      <c r="J68" s="101"/>
      <c r="K68" s="101"/>
      <c r="L68" s="101"/>
      <c r="M68" s="101"/>
    </row>
    <row r="69" spans="4:13" x14ac:dyDescent="0.2">
      <c r="D69" s="101"/>
      <c r="E69" s="118"/>
      <c r="F69" s="101"/>
      <c r="G69" s="101"/>
      <c r="H69" s="101"/>
      <c r="I69" s="101"/>
      <c r="J69" s="101"/>
      <c r="K69" s="101"/>
      <c r="L69" s="101"/>
      <c r="M69" s="101"/>
    </row>
    <row r="70" spans="4:13" x14ac:dyDescent="0.2">
      <c r="D70" s="101"/>
      <c r="E70" s="118"/>
      <c r="F70" s="101"/>
      <c r="G70" s="101"/>
      <c r="H70" s="101"/>
      <c r="I70" s="101"/>
      <c r="J70" s="101"/>
      <c r="K70" s="101"/>
      <c r="L70" s="101"/>
      <c r="M70" s="101"/>
    </row>
    <row r="71" spans="4:13" x14ac:dyDescent="0.2">
      <c r="D71" s="101"/>
      <c r="E71" s="118"/>
      <c r="F71" s="101"/>
      <c r="G71" s="101"/>
      <c r="H71" s="101"/>
      <c r="I71" s="101"/>
      <c r="J71" s="101"/>
      <c r="K71" s="101"/>
      <c r="L71" s="101"/>
      <c r="M71" s="101"/>
    </row>
    <row r="72" spans="4:13" x14ac:dyDescent="0.2">
      <c r="D72" s="101"/>
      <c r="E72" s="118"/>
      <c r="F72" s="101"/>
      <c r="G72" s="101"/>
      <c r="H72" s="101"/>
      <c r="I72" s="101"/>
      <c r="J72" s="101"/>
      <c r="K72" s="101"/>
      <c r="L72" s="101"/>
      <c r="M72" s="101"/>
    </row>
    <row r="73" spans="4:13" x14ac:dyDescent="0.2">
      <c r="D73" s="101"/>
      <c r="E73" s="118"/>
      <c r="F73" s="101"/>
      <c r="G73" s="101"/>
      <c r="H73" s="101"/>
      <c r="I73" s="101"/>
      <c r="J73" s="101"/>
      <c r="K73" s="101"/>
      <c r="L73" s="101"/>
      <c r="M73" s="101"/>
    </row>
    <row r="74" spans="4:13" x14ac:dyDescent="0.2">
      <c r="D74" s="101"/>
      <c r="E74" s="118"/>
      <c r="F74" s="101"/>
      <c r="G74" s="101"/>
      <c r="H74" s="101"/>
      <c r="I74" s="101"/>
      <c r="J74" s="101"/>
      <c r="K74" s="101"/>
      <c r="L74" s="101"/>
      <c r="M74" s="101"/>
    </row>
    <row r="75" spans="4:13" x14ac:dyDescent="0.2">
      <c r="D75" s="101"/>
      <c r="E75" s="118"/>
      <c r="F75" s="101"/>
      <c r="G75" s="101"/>
      <c r="H75" s="101"/>
      <c r="I75" s="101"/>
      <c r="J75" s="101"/>
      <c r="K75" s="101"/>
      <c r="L75" s="101"/>
      <c r="M75" s="101"/>
    </row>
    <row r="76" spans="4:13" x14ac:dyDescent="0.2">
      <c r="D76" s="101"/>
      <c r="E76" s="118"/>
      <c r="F76" s="101"/>
      <c r="G76" s="101"/>
      <c r="H76" s="101"/>
      <c r="I76" s="101"/>
      <c r="J76" s="101"/>
      <c r="K76" s="101"/>
      <c r="L76" s="101"/>
      <c r="M76" s="101"/>
    </row>
    <row r="77" spans="4:13" x14ac:dyDescent="0.2">
      <c r="D77" s="101"/>
      <c r="E77" s="118"/>
      <c r="F77" s="101"/>
      <c r="G77" s="101"/>
      <c r="H77" s="101"/>
      <c r="I77" s="101"/>
      <c r="J77" s="101"/>
      <c r="K77" s="101"/>
      <c r="L77" s="101"/>
      <c r="M77" s="101"/>
    </row>
    <row r="78" spans="4:13" x14ac:dyDescent="0.2">
      <c r="D78" s="101"/>
      <c r="E78" s="118"/>
      <c r="F78" s="101"/>
      <c r="G78" s="101"/>
      <c r="H78" s="101"/>
      <c r="I78" s="101"/>
      <c r="J78" s="101"/>
      <c r="K78" s="101"/>
      <c r="L78" s="101"/>
      <c r="M78" s="101"/>
    </row>
    <row r="79" spans="4:13" x14ac:dyDescent="0.2">
      <c r="D79" s="101"/>
      <c r="E79" s="118"/>
      <c r="F79" s="101"/>
      <c r="G79" s="101"/>
      <c r="H79" s="101"/>
      <c r="I79" s="101"/>
      <c r="J79" s="101"/>
      <c r="K79" s="101"/>
      <c r="L79" s="101"/>
      <c r="M79" s="101"/>
    </row>
    <row r="80" spans="4:13" x14ac:dyDescent="0.2">
      <c r="D80" s="101"/>
      <c r="E80" s="118"/>
      <c r="F80" s="101"/>
      <c r="G80" s="101"/>
      <c r="H80" s="101"/>
      <c r="I80" s="101"/>
      <c r="J80" s="101"/>
      <c r="K80" s="101"/>
      <c r="L80" s="101"/>
      <c r="M80" s="101"/>
    </row>
    <row r="81" spans="4:13" x14ac:dyDescent="0.2">
      <c r="D81" s="101"/>
      <c r="E81" s="118"/>
      <c r="F81" s="101"/>
      <c r="G81" s="101"/>
      <c r="H81" s="101"/>
      <c r="I81" s="101"/>
      <c r="J81" s="101"/>
      <c r="K81" s="101"/>
      <c r="L81" s="101"/>
      <c r="M81" s="101"/>
    </row>
    <row r="82" spans="4:13" x14ac:dyDescent="0.2">
      <c r="D82" s="101"/>
      <c r="E82" s="118"/>
      <c r="F82" s="101"/>
      <c r="G82" s="101"/>
      <c r="H82" s="101"/>
      <c r="I82" s="101"/>
      <c r="J82" s="101"/>
      <c r="K82" s="101"/>
      <c r="L82" s="101"/>
      <c r="M82" s="101"/>
    </row>
    <row r="83" spans="4:13" x14ac:dyDescent="0.2">
      <c r="D83" s="101"/>
      <c r="E83" s="118"/>
      <c r="F83" s="101"/>
      <c r="G83" s="101"/>
      <c r="H83" s="101"/>
      <c r="I83" s="101"/>
      <c r="J83" s="101"/>
      <c r="K83" s="101"/>
      <c r="L83" s="101"/>
      <c r="M83" s="101"/>
    </row>
    <row r="84" spans="4:13" x14ac:dyDescent="0.2">
      <c r="D84" s="101"/>
      <c r="E84" s="118"/>
      <c r="F84" s="101"/>
      <c r="G84" s="101"/>
      <c r="H84" s="101"/>
      <c r="I84" s="101"/>
      <c r="J84" s="101"/>
      <c r="K84" s="101"/>
      <c r="L84" s="101"/>
      <c r="M84" s="101"/>
    </row>
    <row r="85" spans="4:13" x14ac:dyDescent="0.2">
      <c r="D85" s="101"/>
      <c r="E85" s="118"/>
      <c r="F85" s="101"/>
      <c r="G85" s="101"/>
      <c r="H85" s="101"/>
      <c r="I85" s="101"/>
      <c r="J85" s="101"/>
      <c r="K85" s="101"/>
      <c r="L85" s="101"/>
      <c r="M85" s="101"/>
    </row>
    <row r="86" spans="4:13" x14ac:dyDescent="0.2">
      <c r="D86" s="101"/>
      <c r="E86" s="118"/>
      <c r="F86" s="101"/>
      <c r="G86" s="101"/>
      <c r="H86" s="101"/>
      <c r="I86" s="101"/>
      <c r="J86" s="101"/>
      <c r="K86" s="101"/>
      <c r="L86" s="101"/>
      <c r="M86" s="101"/>
    </row>
    <row r="87" spans="4:13" x14ac:dyDescent="0.2">
      <c r="D87" s="101"/>
      <c r="E87" s="118"/>
      <c r="F87" s="101"/>
      <c r="G87" s="101"/>
      <c r="H87" s="101"/>
      <c r="I87" s="101"/>
      <c r="J87" s="101"/>
      <c r="K87" s="101"/>
      <c r="L87" s="101"/>
      <c r="M87" s="101"/>
    </row>
    <row r="88" spans="4:13" x14ac:dyDescent="0.2">
      <c r="D88" s="101"/>
      <c r="E88" s="118"/>
      <c r="F88" s="101"/>
      <c r="G88" s="101"/>
      <c r="H88" s="101"/>
      <c r="I88" s="101"/>
      <c r="J88" s="101"/>
      <c r="K88" s="101"/>
      <c r="L88" s="101"/>
      <c r="M88" s="101"/>
    </row>
    <row r="89" spans="4:13" x14ac:dyDescent="0.2">
      <c r="D89" s="101"/>
      <c r="E89" s="118"/>
      <c r="F89" s="101"/>
      <c r="G89" s="101"/>
      <c r="H89" s="101"/>
      <c r="I89" s="101"/>
      <c r="J89" s="101"/>
      <c r="K89" s="101"/>
      <c r="L89" s="101"/>
      <c r="M89" s="101"/>
    </row>
    <row r="90" spans="4:13" x14ac:dyDescent="0.2">
      <c r="D90" s="101"/>
      <c r="E90" s="118"/>
      <c r="F90" s="101"/>
      <c r="G90" s="101"/>
      <c r="H90" s="101"/>
      <c r="I90" s="101"/>
      <c r="J90" s="101"/>
      <c r="K90" s="101"/>
      <c r="L90" s="101"/>
      <c r="M90" s="101"/>
    </row>
    <row r="91" spans="4:13" x14ac:dyDescent="0.2">
      <c r="D91" s="101"/>
      <c r="E91" s="118"/>
      <c r="F91" s="101"/>
      <c r="G91" s="101"/>
      <c r="H91" s="101"/>
      <c r="I91" s="101"/>
      <c r="J91" s="101"/>
      <c r="K91" s="101"/>
      <c r="L91" s="101"/>
      <c r="M91" s="101"/>
    </row>
    <row r="92" spans="4:13" x14ac:dyDescent="0.2">
      <c r="D92" s="101"/>
      <c r="E92" s="118"/>
      <c r="F92" s="101"/>
      <c r="G92" s="101"/>
      <c r="H92" s="101"/>
      <c r="I92" s="101"/>
      <c r="J92" s="101"/>
      <c r="K92" s="101"/>
      <c r="L92" s="101"/>
      <c r="M92" s="101"/>
    </row>
    <row r="93" spans="4:13" x14ac:dyDescent="0.2">
      <c r="D93" s="101"/>
      <c r="E93" s="118"/>
      <c r="F93" s="101"/>
      <c r="G93" s="101"/>
      <c r="H93" s="101"/>
      <c r="I93" s="101"/>
      <c r="J93" s="101"/>
      <c r="K93" s="101"/>
      <c r="L93" s="101"/>
      <c r="M93" s="101"/>
    </row>
    <row r="94" spans="4:13" x14ac:dyDescent="0.2">
      <c r="D94" s="101"/>
      <c r="E94" s="118"/>
      <c r="F94" s="101"/>
      <c r="G94" s="101"/>
      <c r="H94" s="101"/>
      <c r="I94" s="101"/>
      <c r="J94" s="101"/>
      <c r="K94" s="101"/>
      <c r="L94" s="101"/>
      <c r="M94" s="101"/>
    </row>
    <row r="95" spans="4:13" x14ac:dyDescent="0.2">
      <c r="D95" s="101"/>
      <c r="E95" s="118"/>
      <c r="F95" s="101"/>
      <c r="G95" s="101"/>
      <c r="H95" s="101"/>
      <c r="I95" s="101"/>
      <c r="J95" s="101"/>
      <c r="K95" s="101"/>
      <c r="L95" s="101"/>
      <c r="M95" s="101"/>
    </row>
    <row r="96" spans="4:13" x14ac:dyDescent="0.2">
      <c r="D96" s="101"/>
      <c r="E96" s="118"/>
      <c r="F96" s="101"/>
      <c r="G96" s="101"/>
      <c r="H96" s="101"/>
      <c r="I96" s="101"/>
      <c r="J96" s="101"/>
      <c r="K96" s="101"/>
      <c r="L96" s="101"/>
      <c r="M96" s="101"/>
    </row>
    <row r="97" spans="4:13" x14ac:dyDescent="0.2">
      <c r="D97" s="101"/>
      <c r="E97" s="118"/>
      <c r="F97" s="101"/>
      <c r="G97" s="101"/>
      <c r="H97" s="101"/>
      <c r="I97" s="101"/>
      <c r="J97" s="101"/>
      <c r="K97" s="101"/>
      <c r="L97" s="101"/>
      <c r="M97" s="101"/>
    </row>
    <row r="98" spans="4:13" x14ac:dyDescent="0.2">
      <c r="D98" s="101"/>
      <c r="E98" s="118"/>
      <c r="F98" s="101"/>
      <c r="G98" s="101"/>
      <c r="H98" s="101"/>
      <c r="I98" s="101"/>
      <c r="J98" s="101"/>
      <c r="K98" s="101"/>
      <c r="L98" s="101"/>
      <c r="M98" s="101"/>
    </row>
    <row r="99" spans="4:13" x14ac:dyDescent="0.2">
      <c r="D99" s="101"/>
      <c r="E99" s="118"/>
      <c r="F99" s="101"/>
      <c r="G99" s="101"/>
      <c r="H99" s="101"/>
      <c r="I99" s="101"/>
      <c r="J99" s="101"/>
      <c r="K99" s="101"/>
      <c r="L99" s="101"/>
      <c r="M99" s="101"/>
    </row>
    <row r="100" spans="4:13" x14ac:dyDescent="0.2">
      <c r="D100" s="101"/>
      <c r="E100" s="118"/>
      <c r="F100" s="101"/>
      <c r="G100" s="101"/>
      <c r="H100" s="101"/>
      <c r="I100" s="101"/>
      <c r="J100" s="101"/>
      <c r="K100" s="101"/>
      <c r="L100" s="101"/>
      <c r="M100" s="101"/>
    </row>
    <row r="101" spans="4:13" x14ac:dyDescent="0.2">
      <c r="D101" s="101"/>
      <c r="E101" s="118"/>
      <c r="F101" s="101"/>
      <c r="G101" s="101"/>
      <c r="H101" s="101"/>
      <c r="I101" s="101"/>
      <c r="J101" s="101"/>
      <c r="K101" s="101"/>
      <c r="L101" s="101"/>
      <c r="M101" s="101"/>
    </row>
    <row r="102" spans="4:13" x14ac:dyDescent="0.2">
      <c r="D102" s="101"/>
      <c r="E102" s="118"/>
      <c r="F102" s="101"/>
      <c r="G102" s="101"/>
      <c r="H102" s="101"/>
      <c r="I102" s="101"/>
      <c r="J102" s="101"/>
      <c r="K102" s="101"/>
      <c r="L102" s="101"/>
      <c r="M102" s="101"/>
    </row>
    <row r="103" spans="4:13" x14ac:dyDescent="0.2">
      <c r="D103" s="101"/>
      <c r="E103" s="118"/>
      <c r="F103" s="101"/>
      <c r="G103" s="101"/>
      <c r="H103" s="101"/>
      <c r="I103" s="101"/>
      <c r="J103" s="101"/>
      <c r="K103" s="101"/>
      <c r="L103" s="101"/>
      <c r="M103" s="101"/>
    </row>
    <row r="104" spans="4:13" x14ac:dyDescent="0.2">
      <c r="D104" s="101"/>
      <c r="E104" s="118"/>
      <c r="F104" s="101"/>
      <c r="G104" s="101"/>
      <c r="H104" s="101"/>
      <c r="I104" s="101"/>
      <c r="J104" s="101"/>
      <c r="K104" s="101"/>
      <c r="L104" s="101"/>
      <c r="M104" s="101"/>
    </row>
    <row r="105" spans="4:13" x14ac:dyDescent="0.2">
      <c r="D105" s="101"/>
      <c r="E105" s="118"/>
      <c r="F105" s="101"/>
      <c r="G105" s="101"/>
      <c r="H105" s="101"/>
      <c r="I105" s="101"/>
      <c r="J105" s="101"/>
      <c r="K105" s="101"/>
      <c r="L105" s="101"/>
      <c r="M105" s="101"/>
    </row>
    <row r="106" spans="4:13" x14ac:dyDescent="0.2">
      <c r="D106" s="101"/>
      <c r="E106" s="118"/>
      <c r="F106" s="101"/>
      <c r="G106" s="101"/>
      <c r="H106" s="101"/>
      <c r="I106" s="101"/>
      <c r="J106" s="101"/>
      <c r="K106" s="101"/>
      <c r="L106" s="101"/>
      <c r="M106" s="101"/>
    </row>
    <row r="107" spans="4:13" x14ac:dyDescent="0.2">
      <c r="D107" s="101"/>
      <c r="E107" s="118"/>
      <c r="F107" s="101"/>
      <c r="G107" s="101"/>
      <c r="H107" s="101"/>
      <c r="I107" s="101"/>
      <c r="J107" s="101"/>
      <c r="K107" s="101"/>
      <c r="L107" s="101"/>
      <c r="M107" s="101"/>
    </row>
    <row r="108" spans="4:13" x14ac:dyDescent="0.2">
      <c r="D108" s="101"/>
      <c r="E108" s="118"/>
      <c r="F108" s="101"/>
      <c r="G108" s="101"/>
      <c r="H108" s="101"/>
      <c r="I108" s="101"/>
      <c r="J108" s="101"/>
      <c r="K108" s="101"/>
      <c r="L108" s="101"/>
      <c r="M108" s="101"/>
    </row>
    <row r="109" spans="4:13" x14ac:dyDescent="0.2">
      <c r="D109" s="101"/>
      <c r="E109" s="118"/>
      <c r="F109" s="101"/>
      <c r="G109" s="101"/>
      <c r="H109" s="101"/>
      <c r="I109" s="101"/>
      <c r="J109" s="101"/>
      <c r="K109" s="101"/>
      <c r="L109" s="101"/>
      <c r="M109" s="101"/>
    </row>
    <row r="110" spans="4:13" x14ac:dyDescent="0.2">
      <c r="D110" s="101"/>
      <c r="E110" s="118"/>
      <c r="F110" s="101"/>
      <c r="G110" s="101"/>
      <c r="H110" s="101"/>
      <c r="I110" s="101"/>
      <c r="J110" s="101"/>
      <c r="K110" s="101"/>
      <c r="L110" s="101"/>
      <c r="M110" s="101"/>
    </row>
    <row r="111" spans="4:13" x14ac:dyDescent="0.2">
      <c r="D111" s="101"/>
      <c r="E111" s="118"/>
      <c r="F111" s="101"/>
      <c r="G111" s="101"/>
      <c r="H111" s="101"/>
      <c r="I111" s="101"/>
      <c r="J111" s="101"/>
      <c r="K111" s="101"/>
      <c r="L111" s="101"/>
      <c r="M111" s="101"/>
    </row>
    <row r="112" spans="4:13" x14ac:dyDescent="0.2">
      <c r="D112" s="101"/>
      <c r="E112" s="118"/>
      <c r="F112" s="101"/>
      <c r="G112" s="101"/>
      <c r="H112" s="101"/>
      <c r="I112" s="101"/>
      <c r="J112" s="101"/>
      <c r="K112" s="101"/>
      <c r="L112" s="101"/>
      <c r="M112" s="101"/>
    </row>
    <row r="113" spans="4:13" x14ac:dyDescent="0.2">
      <c r="D113" s="101"/>
      <c r="E113" s="118"/>
      <c r="F113" s="101"/>
      <c r="G113" s="101"/>
      <c r="H113" s="101"/>
      <c r="I113" s="101"/>
      <c r="J113" s="101"/>
      <c r="K113" s="101"/>
      <c r="L113" s="101"/>
      <c r="M113" s="101"/>
    </row>
    <row r="114" spans="4:13" x14ac:dyDescent="0.2">
      <c r="D114" s="101"/>
      <c r="E114" s="118"/>
      <c r="F114" s="101"/>
      <c r="G114" s="101"/>
      <c r="H114" s="101"/>
      <c r="I114" s="101"/>
      <c r="J114" s="101"/>
      <c r="K114" s="101"/>
      <c r="L114" s="101"/>
      <c r="M114" s="101"/>
    </row>
    <row r="115" spans="4:13" x14ac:dyDescent="0.2">
      <c r="D115" s="101"/>
      <c r="E115" s="118"/>
      <c r="F115" s="101"/>
      <c r="G115" s="101"/>
      <c r="H115" s="101"/>
      <c r="I115" s="101"/>
      <c r="J115" s="101"/>
      <c r="K115" s="101"/>
      <c r="L115" s="101"/>
      <c r="M115" s="101"/>
    </row>
    <row r="116" spans="4:13" x14ac:dyDescent="0.2">
      <c r="D116" s="101"/>
      <c r="E116" s="118"/>
      <c r="F116" s="101"/>
      <c r="G116" s="101"/>
      <c r="H116" s="101"/>
      <c r="I116" s="101"/>
      <c r="J116" s="101"/>
      <c r="K116" s="101"/>
      <c r="L116" s="101"/>
      <c r="M116" s="101"/>
    </row>
    <row r="117" spans="4:13" x14ac:dyDescent="0.2">
      <c r="D117" s="101"/>
      <c r="E117" s="118"/>
      <c r="F117" s="101"/>
      <c r="G117" s="101"/>
      <c r="H117" s="101"/>
      <c r="I117" s="101"/>
      <c r="J117" s="101"/>
      <c r="K117" s="101"/>
      <c r="L117" s="101"/>
      <c r="M117" s="101"/>
    </row>
    <row r="118" spans="4:13" x14ac:dyDescent="0.2">
      <c r="D118" s="101"/>
      <c r="E118" s="118"/>
      <c r="F118" s="101"/>
      <c r="G118" s="101"/>
      <c r="H118" s="101"/>
      <c r="I118" s="101"/>
      <c r="J118" s="101"/>
      <c r="K118" s="101"/>
      <c r="L118" s="101"/>
      <c r="M118" s="101"/>
    </row>
    <row r="119" spans="4:13" x14ac:dyDescent="0.2">
      <c r="D119" s="101"/>
      <c r="E119" s="118"/>
      <c r="F119" s="101"/>
      <c r="G119" s="101"/>
      <c r="H119" s="101"/>
      <c r="I119" s="101"/>
      <c r="J119" s="101"/>
      <c r="K119" s="101"/>
      <c r="L119" s="101"/>
      <c r="M119" s="101"/>
    </row>
    <row r="120" spans="4:13" x14ac:dyDescent="0.2">
      <c r="D120" s="101"/>
      <c r="E120" s="118"/>
      <c r="F120" s="101"/>
      <c r="G120" s="101"/>
      <c r="H120" s="101"/>
      <c r="I120" s="101"/>
      <c r="J120" s="101"/>
      <c r="K120" s="101"/>
      <c r="L120" s="101"/>
      <c r="M120" s="101"/>
    </row>
    <row r="121" spans="4:13" x14ac:dyDescent="0.2">
      <c r="D121" s="101"/>
      <c r="E121" s="118"/>
      <c r="F121" s="101"/>
      <c r="G121" s="101"/>
      <c r="H121" s="101"/>
      <c r="I121" s="101"/>
      <c r="J121" s="101"/>
      <c r="K121" s="101"/>
      <c r="L121" s="101"/>
      <c r="M121" s="101"/>
    </row>
    <row r="122" spans="4:13" x14ac:dyDescent="0.2">
      <c r="D122" s="101"/>
      <c r="E122" s="118"/>
      <c r="F122" s="101"/>
      <c r="G122" s="101"/>
      <c r="H122" s="101"/>
      <c r="I122" s="101"/>
      <c r="J122" s="101"/>
      <c r="K122" s="101"/>
      <c r="L122" s="101"/>
      <c r="M122" s="101"/>
    </row>
    <row r="123" spans="4:13" x14ac:dyDescent="0.2">
      <c r="D123" s="101"/>
      <c r="E123" s="118"/>
      <c r="F123" s="101"/>
      <c r="G123" s="101"/>
      <c r="H123" s="101"/>
      <c r="I123" s="101"/>
      <c r="J123" s="101"/>
      <c r="K123" s="101"/>
      <c r="L123" s="101"/>
      <c r="M123" s="101"/>
    </row>
    <row r="124" spans="4:13" x14ac:dyDescent="0.2">
      <c r="D124" s="101"/>
      <c r="E124" s="118"/>
      <c r="F124" s="101"/>
      <c r="G124" s="101"/>
      <c r="H124" s="101"/>
      <c r="I124" s="101"/>
      <c r="J124" s="101"/>
      <c r="K124" s="101"/>
      <c r="L124" s="101"/>
      <c r="M124" s="101"/>
    </row>
    <row r="125" spans="4:13" x14ac:dyDescent="0.2">
      <c r="D125" s="101"/>
      <c r="E125" s="118"/>
      <c r="F125" s="101"/>
      <c r="G125" s="101"/>
      <c r="H125" s="101"/>
      <c r="I125" s="101"/>
      <c r="J125" s="101"/>
      <c r="K125" s="101"/>
      <c r="L125" s="101"/>
      <c r="M125" s="101"/>
    </row>
    <row r="126" spans="4:13" x14ac:dyDescent="0.2">
      <c r="D126" s="101"/>
      <c r="E126" s="118"/>
      <c r="F126" s="101"/>
      <c r="G126" s="101"/>
      <c r="H126" s="101"/>
      <c r="I126" s="101"/>
      <c r="J126" s="101"/>
      <c r="K126" s="101"/>
      <c r="L126" s="101"/>
      <c r="M126" s="101"/>
    </row>
    <row r="127" spans="4:13" x14ac:dyDescent="0.2">
      <c r="D127" s="101"/>
      <c r="E127" s="118"/>
      <c r="F127" s="101"/>
      <c r="G127" s="101"/>
      <c r="H127" s="101"/>
      <c r="I127" s="101"/>
      <c r="J127" s="101"/>
      <c r="K127" s="101"/>
      <c r="L127" s="101"/>
      <c r="M127" s="101"/>
    </row>
    <row r="128" spans="4:13" x14ac:dyDescent="0.2">
      <c r="D128" s="101"/>
      <c r="E128" s="118"/>
      <c r="F128" s="101"/>
      <c r="G128" s="101"/>
      <c r="H128" s="101"/>
      <c r="I128" s="101"/>
      <c r="J128" s="101"/>
      <c r="K128" s="101"/>
      <c r="L128" s="101"/>
      <c r="M128" s="101"/>
    </row>
    <row r="129" spans="4:13" x14ac:dyDescent="0.2">
      <c r="D129" s="101"/>
      <c r="E129" s="118"/>
      <c r="F129" s="101"/>
      <c r="G129" s="101"/>
      <c r="H129" s="101"/>
      <c r="I129" s="101"/>
      <c r="J129" s="101"/>
      <c r="K129" s="101"/>
      <c r="L129" s="101"/>
      <c r="M129" s="101"/>
    </row>
    <row r="130" spans="4:13" x14ac:dyDescent="0.2">
      <c r="D130" s="101"/>
      <c r="E130" s="118"/>
      <c r="F130" s="101"/>
      <c r="G130" s="101"/>
      <c r="H130" s="101"/>
      <c r="I130" s="101"/>
      <c r="J130" s="101"/>
      <c r="K130" s="101"/>
      <c r="L130" s="101"/>
      <c r="M130" s="101"/>
    </row>
    <row r="131" spans="4:13" x14ac:dyDescent="0.2">
      <c r="D131" s="101"/>
      <c r="E131" s="118"/>
      <c r="F131" s="101"/>
      <c r="G131" s="101"/>
      <c r="H131" s="101"/>
      <c r="I131" s="101"/>
      <c r="J131" s="101"/>
      <c r="K131" s="101"/>
      <c r="L131" s="101"/>
      <c r="M131" s="101"/>
    </row>
    <row r="132" spans="4:13" x14ac:dyDescent="0.2">
      <c r="D132" s="101"/>
      <c r="E132" s="118"/>
      <c r="F132" s="101"/>
      <c r="G132" s="101"/>
      <c r="H132" s="101"/>
      <c r="I132" s="101"/>
      <c r="J132" s="101"/>
      <c r="K132" s="101"/>
      <c r="L132" s="101"/>
      <c r="M132" s="101"/>
    </row>
    <row r="133" spans="4:13" x14ac:dyDescent="0.2">
      <c r="D133" s="101"/>
      <c r="E133" s="118"/>
      <c r="F133" s="101"/>
      <c r="G133" s="101"/>
      <c r="H133" s="101"/>
      <c r="I133" s="101"/>
      <c r="J133" s="101"/>
      <c r="K133" s="101"/>
      <c r="L133" s="101"/>
      <c r="M133" s="101"/>
    </row>
    <row r="134" spans="4:13" x14ac:dyDescent="0.2">
      <c r="D134" s="101"/>
      <c r="E134" s="118"/>
      <c r="F134" s="101"/>
      <c r="G134" s="101"/>
      <c r="H134" s="101"/>
      <c r="I134" s="101"/>
      <c r="J134" s="101"/>
      <c r="K134" s="101"/>
      <c r="L134" s="101"/>
      <c r="M134" s="101"/>
    </row>
    <row r="135" spans="4:13" x14ac:dyDescent="0.2">
      <c r="D135" s="101"/>
      <c r="E135" s="118"/>
      <c r="F135" s="101"/>
      <c r="G135" s="101"/>
      <c r="H135" s="101"/>
      <c r="I135" s="101"/>
      <c r="J135" s="101"/>
      <c r="K135" s="101"/>
      <c r="L135" s="101"/>
      <c r="M135" s="101"/>
    </row>
    <row r="136" spans="4:13" x14ac:dyDescent="0.2">
      <c r="D136" s="101"/>
      <c r="E136" s="118"/>
      <c r="F136" s="101"/>
      <c r="G136" s="101"/>
      <c r="H136" s="101"/>
      <c r="I136" s="101"/>
      <c r="J136" s="101"/>
      <c r="K136" s="101"/>
      <c r="L136" s="101"/>
      <c r="M136" s="101"/>
    </row>
    <row r="137" spans="4:13" x14ac:dyDescent="0.2">
      <c r="D137" s="101"/>
      <c r="E137" s="118"/>
      <c r="F137" s="101"/>
      <c r="G137" s="101"/>
      <c r="H137" s="101"/>
      <c r="I137" s="101"/>
      <c r="J137" s="101"/>
      <c r="K137" s="101"/>
      <c r="L137" s="101"/>
      <c r="M137" s="101"/>
    </row>
    <row r="138" spans="4:13" x14ac:dyDescent="0.2">
      <c r="D138" s="101"/>
      <c r="E138" s="118"/>
      <c r="F138" s="101"/>
      <c r="G138" s="101"/>
      <c r="H138" s="101"/>
      <c r="I138" s="101"/>
      <c r="J138" s="101"/>
      <c r="K138" s="101"/>
      <c r="L138" s="101"/>
      <c r="M138" s="101"/>
    </row>
    <row r="139" spans="4:13" x14ac:dyDescent="0.2">
      <c r="D139" s="101"/>
      <c r="E139" s="118"/>
      <c r="F139" s="101"/>
      <c r="G139" s="101"/>
      <c r="H139" s="101"/>
      <c r="I139" s="101"/>
      <c r="J139" s="101"/>
      <c r="K139" s="101"/>
      <c r="L139" s="101"/>
      <c r="M139" s="101"/>
    </row>
    <row r="140" spans="4:13" x14ac:dyDescent="0.2">
      <c r="D140" s="101"/>
      <c r="E140" s="118"/>
      <c r="F140" s="101"/>
      <c r="G140" s="101"/>
      <c r="H140" s="101"/>
      <c r="I140" s="101"/>
      <c r="J140" s="101"/>
      <c r="K140" s="101"/>
      <c r="L140" s="101"/>
      <c r="M140" s="101"/>
    </row>
    <row r="141" spans="4:13" x14ac:dyDescent="0.2">
      <c r="D141" s="101"/>
      <c r="E141" s="118"/>
      <c r="F141" s="101"/>
      <c r="G141" s="101"/>
      <c r="H141" s="101"/>
      <c r="I141" s="101"/>
      <c r="J141" s="101"/>
      <c r="K141" s="101"/>
      <c r="L141" s="101"/>
      <c r="M141" s="101"/>
    </row>
    <row r="142" spans="4:13" x14ac:dyDescent="0.2">
      <c r="D142" s="101"/>
      <c r="E142" s="118"/>
      <c r="F142" s="101"/>
      <c r="G142" s="101"/>
      <c r="H142" s="101"/>
      <c r="I142" s="101"/>
      <c r="J142" s="101"/>
      <c r="K142" s="101"/>
      <c r="L142" s="101"/>
      <c r="M142" s="101"/>
    </row>
    <row r="143" spans="4:13" x14ac:dyDescent="0.2">
      <c r="D143" s="101"/>
      <c r="E143" s="118"/>
      <c r="F143" s="101"/>
      <c r="G143" s="101"/>
      <c r="H143" s="101"/>
      <c r="I143" s="101"/>
      <c r="J143" s="101"/>
      <c r="K143" s="101"/>
      <c r="L143" s="101"/>
      <c r="M143" s="101"/>
    </row>
    <row r="144" spans="4:13" x14ac:dyDescent="0.2">
      <c r="D144" s="101"/>
      <c r="E144" s="118"/>
      <c r="F144" s="101"/>
      <c r="G144" s="101"/>
      <c r="H144" s="101"/>
      <c r="I144" s="101"/>
      <c r="J144" s="101"/>
      <c r="K144" s="101"/>
      <c r="L144" s="101"/>
      <c r="M144" s="101"/>
    </row>
    <row r="145" spans="4:13" x14ac:dyDescent="0.2">
      <c r="D145" s="101"/>
      <c r="E145" s="118"/>
      <c r="F145" s="101"/>
      <c r="G145" s="101"/>
      <c r="H145" s="101"/>
      <c r="I145" s="101"/>
      <c r="J145" s="101"/>
      <c r="K145" s="101"/>
      <c r="L145" s="101"/>
      <c r="M145" s="101"/>
    </row>
    <row r="146" spans="4:13" x14ac:dyDescent="0.2">
      <c r="D146" s="101"/>
      <c r="E146" s="118"/>
      <c r="F146" s="101"/>
      <c r="G146" s="101"/>
      <c r="H146" s="101"/>
      <c r="I146" s="101"/>
      <c r="J146" s="101"/>
      <c r="K146" s="101"/>
      <c r="L146" s="101"/>
      <c r="M146" s="101"/>
    </row>
    <row r="147" spans="4:13" x14ac:dyDescent="0.2">
      <c r="D147" s="101"/>
      <c r="E147" s="118"/>
      <c r="F147" s="101"/>
      <c r="G147" s="101"/>
      <c r="H147" s="101"/>
      <c r="I147" s="101"/>
      <c r="J147" s="101"/>
      <c r="K147" s="101"/>
      <c r="L147" s="101"/>
      <c r="M147" s="101"/>
    </row>
    <row r="148" spans="4:13" x14ac:dyDescent="0.2">
      <c r="D148" s="101"/>
      <c r="E148" s="118"/>
      <c r="F148" s="101"/>
      <c r="G148" s="101"/>
      <c r="H148" s="101"/>
      <c r="I148" s="101"/>
      <c r="J148" s="101"/>
      <c r="K148" s="101"/>
      <c r="L148" s="101"/>
      <c r="M148" s="101"/>
    </row>
    <row r="149" spans="4:13" x14ac:dyDescent="0.2">
      <c r="D149" s="101"/>
      <c r="E149" s="118"/>
      <c r="F149" s="101"/>
      <c r="G149" s="101"/>
      <c r="H149" s="101"/>
      <c r="I149" s="101"/>
      <c r="J149" s="101"/>
      <c r="K149" s="101"/>
      <c r="L149" s="101"/>
      <c r="M149" s="101"/>
    </row>
    <row r="150" spans="4:13" x14ac:dyDescent="0.2">
      <c r="D150" s="101"/>
      <c r="E150" s="118"/>
      <c r="F150" s="101"/>
      <c r="G150" s="101"/>
      <c r="H150" s="101"/>
      <c r="I150" s="101"/>
      <c r="J150" s="101"/>
      <c r="K150" s="101"/>
      <c r="L150" s="101"/>
      <c r="M150" s="101"/>
    </row>
  </sheetData>
  <mergeCells count="2">
    <mergeCell ref="D2:E2"/>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9C594-FAA5-B546-AAB4-02AA187FF204}">
  <dimension ref="A2:M193"/>
  <sheetViews>
    <sheetView zoomScale="163" workbookViewId="0">
      <pane xSplit="3" ySplit="3" topLeftCell="D89" activePane="bottomRight" state="frozen"/>
      <selection activeCell="G26" sqref="G26"/>
      <selection pane="topRight" activeCell="G26" sqref="G26"/>
      <selection pane="bottomLeft" activeCell="G26" sqref="G26"/>
      <selection pane="bottomRight" activeCell="G26" sqref="G26"/>
    </sheetView>
  </sheetViews>
  <sheetFormatPr baseColWidth="10" defaultColWidth="10.83203125" defaultRowHeight="16" outlineLevelCol="1" x14ac:dyDescent="0.2"/>
  <cols>
    <col min="1" max="1" width="4.1640625" customWidth="1"/>
    <col min="2" max="2" width="3.33203125" customWidth="1"/>
    <col min="3" max="3" width="41.83203125" customWidth="1"/>
    <col min="4" max="4" width="11.1640625" bestFit="1" customWidth="1"/>
    <col min="5" max="5" width="11.5" style="119" bestFit="1" customWidth="1"/>
    <col min="6" max="6" width="3.5" customWidth="1"/>
    <col min="7" max="7" width="14" bestFit="1" customWidth="1"/>
    <col min="8" max="8" width="11.5" bestFit="1" customWidth="1"/>
    <col min="9" max="9" width="3.33203125" hidden="1" customWidth="1" outlineLevel="1"/>
    <col min="10" max="10" width="9.1640625" hidden="1" customWidth="1" outlineLevel="1"/>
    <col min="11" max="11" width="9.83203125" hidden="1" customWidth="1" outlineLevel="1"/>
    <col min="12" max="12" width="3.33203125" customWidth="1" collapsed="1"/>
    <col min="13" max="13" width="55.83203125" customWidth="1"/>
  </cols>
  <sheetData>
    <row r="2" spans="1:13" s="3" customFormat="1" x14ac:dyDescent="0.2">
      <c r="C2" s="3" t="s">
        <v>23</v>
      </c>
      <c r="D2" s="691" t="s">
        <v>130</v>
      </c>
      <c r="E2" s="691"/>
      <c r="G2" s="691">
        <v>2024</v>
      </c>
      <c r="H2" s="691"/>
      <c r="I2" s="4"/>
      <c r="J2" s="4"/>
      <c r="K2" s="4"/>
    </row>
    <row r="3" spans="1:13" s="3" customFormat="1" x14ac:dyDescent="0.2">
      <c r="D3" s="323" t="s">
        <v>39</v>
      </c>
      <c r="E3" s="353" t="s">
        <v>40</v>
      </c>
      <c r="G3" s="323" t="s">
        <v>39</v>
      </c>
      <c r="H3" s="323" t="s">
        <v>40</v>
      </c>
      <c r="I3" s="4"/>
      <c r="J3" s="4" t="s">
        <v>151</v>
      </c>
      <c r="K3" s="4" t="s">
        <v>152</v>
      </c>
      <c r="M3" s="3" t="s">
        <v>138</v>
      </c>
    </row>
    <row r="4" spans="1:13" x14ac:dyDescent="0.2">
      <c r="A4" s="107"/>
      <c r="B4" s="107"/>
      <c r="C4" s="107"/>
      <c r="D4" s="112"/>
      <c r="E4" s="117"/>
      <c r="F4" s="107"/>
      <c r="G4" s="112"/>
      <c r="H4" s="112"/>
      <c r="I4" s="112"/>
      <c r="J4" s="112"/>
      <c r="K4" s="112"/>
      <c r="L4" s="107"/>
      <c r="M4" s="107"/>
    </row>
    <row r="5" spans="1:13" x14ac:dyDescent="0.2">
      <c r="B5" t="s">
        <v>119</v>
      </c>
      <c r="D5" s="101"/>
      <c r="E5" s="118"/>
      <c r="F5" s="101"/>
      <c r="G5" s="101"/>
      <c r="H5" s="101"/>
      <c r="I5" s="101"/>
      <c r="J5" s="101"/>
      <c r="K5" s="101"/>
      <c r="L5" s="101"/>
      <c r="M5" s="101"/>
    </row>
    <row r="6" spans="1:13" x14ac:dyDescent="0.2">
      <c r="C6" t="s">
        <v>127</v>
      </c>
      <c r="D6" s="113">
        <v>1712708</v>
      </c>
      <c r="E6" s="121">
        <f>D6/rate</f>
        <v>21408.85</v>
      </c>
      <c r="F6" s="101"/>
      <c r="G6" s="300">
        <f>'GRACE Initiative Staff'!J20</f>
        <v>2016000</v>
      </c>
      <c r="H6" s="121">
        <f>G6/rate</f>
        <v>25200</v>
      </c>
      <c r="I6" s="121"/>
      <c r="J6" s="121">
        <f>H6-E6</f>
        <v>3791.1500000000015</v>
      </c>
      <c r="K6" s="123">
        <f>H6/E6-1</f>
        <v>0.17708330900538805</v>
      </c>
      <c r="L6" s="101"/>
      <c r="M6" s="101" t="s">
        <v>139</v>
      </c>
    </row>
    <row r="7" spans="1:13" x14ac:dyDescent="0.2">
      <c r="C7" t="s">
        <v>128</v>
      </c>
      <c r="D7" s="113">
        <v>103805.91</v>
      </c>
      <c r="E7" s="121">
        <f>D7/rate</f>
        <v>1297.573875</v>
      </c>
      <c r="F7" s="101"/>
      <c r="G7" s="113">
        <v>140625</v>
      </c>
      <c r="H7" s="121">
        <f>G7/rate</f>
        <v>1757.8125</v>
      </c>
      <c r="I7" s="121"/>
      <c r="J7" s="121">
        <f>H7-E7</f>
        <v>460.23862499999996</v>
      </c>
      <c r="K7" s="123">
        <f>H7/E7-1</f>
        <v>0.35469165483930531</v>
      </c>
      <c r="L7" s="101"/>
      <c r="M7" s="101" t="s">
        <v>148</v>
      </c>
    </row>
    <row r="8" spans="1:13" x14ac:dyDescent="0.2">
      <c r="C8" t="s">
        <v>129</v>
      </c>
      <c r="D8" s="116">
        <v>0</v>
      </c>
      <c r="E8" s="121">
        <f>D8/rate</f>
        <v>0</v>
      </c>
      <c r="F8" s="101"/>
      <c r="G8" s="116">
        <v>30000</v>
      </c>
      <c r="H8" s="121">
        <f>G8/rate</f>
        <v>375</v>
      </c>
      <c r="I8" s="121"/>
      <c r="J8" s="121">
        <f>H8-E8</f>
        <v>375</v>
      </c>
      <c r="K8" s="124" t="s">
        <v>153</v>
      </c>
      <c r="L8" s="101"/>
      <c r="M8" s="101"/>
    </row>
    <row r="9" spans="1:13" x14ac:dyDescent="0.2">
      <c r="B9" t="s">
        <v>131</v>
      </c>
      <c r="C9" s="107"/>
      <c r="D9" s="114">
        <f>SUM(D6:D8)</f>
        <v>1816513.91</v>
      </c>
      <c r="E9" s="122">
        <f>SUM(E6:E8)</f>
        <v>22706.423875</v>
      </c>
      <c r="F9" s="108"/>
      <c r="G9" s="114">
        <f>SUM(G6:G8)</f>
        <v>2186625</v>
      </c>
      <c r="H9" s="122">
        <f>SUM(H6:H8)</f>
        <v>27332.8125</v>
      </c>
      <c r="I9" s="122"/>
      <c r="J9" s="122">
        <f>H9-E9</f>
        <v>4626.3886249999996</v>
      </c>
      <c r="K9" s="125">
        <f>H9/E9-1</f>
        <v>0.20374800763292811</v>
      </c>
      <c r="L9" s="101"/>
      <c r="M9" s="101"/>
    </row>
    <row r="10" spans="1:13" x14ac:dyDescent="0.2">
      <c r="D10" s="115"/>
      <c r="E10" s="121"/>
      <c r="F10" s="101"/>
      <c r="G10" s="101"/>
      <c r="H10" s="121"/>
      <c r="I10" s="121"/>
      <c r="J10" s="121"/>
      <c r="K10" s="121"/>
      <c r="L10" s="101"/>
      <c r="M10" s="101"/>
    </row>
    <row r="11" spans="1:13" x14ac:dyDescent="0.2">
      <c r="B11" t="s">
        <v>118</v>
      </c>
      <c r="D11" s="115" t="s">
        <v>23</v>
      </c>
      <c r="E11" s="121"/>
      <c r="F11" s="101"/>
      <c r="G11" s="101"/>
      <c r="H11" s="121"/>
      <c r="I11" s="121"/>
      <c r="J11" s="121"/>
      <c r="K11" s="121"/>
      <c r="L11" s="101"/>
      <c r="M11" s="101"/>
    </row>
    <row r="12" spans="1:13" x14ac:dyDescent="0.2">
      <c r="C12" t="s">
        <v>132</v>
      </c>
      <c r="D12" s="113">
        <v>2039850</v>
      </c>
      <c r="E12" s="121">
        <f t="shared" ref="E12:E25" si="0">D12/rate</f>
        <v>25498.125</v>
      </c>
      <c r="F12" s="101"/>
      <c r="G12" s="113">
        <v>2893400</v>
      </c>
      <c r="H12" s="121">
        <f t="shared" ref="H12:H25" si="1">G12/rate</f>
        <v>36167.5</v>
      </c>
      <c r="I12" s="121"/>
      <c r="J12" s="121">
        <f t="shared" ref="J12:J26" si="2">H12-E12</f>
        <v>10669.375</v>
      </c>
      <c r="K12" s="123">
        <f t="shared" ref="K12:K26" si="3">H12/E12-1</f>
        <v>0.41843763021790825</v>
      </c>
      <c r="L12" s="101"/>
      <c r="M12" s="101" t="s">
        <v>149</v>
      </c>
    </row>
    <row r="13" spans="1:13" x14ac:dyDescent="0.2">
      <c r="C13" t="s">
        <v>133</v>
      </c>
      <c r="D13" s="113">
        <v>75400</v>
      </c>
      <c r="E13" s="121">
        <f t="shared" si="0"/>
        <v>942.5</v>
      </c>
      <c r="F13" s="101"/>
      <c r="G13" s="113">
        <v>187110</v>
      </c>
      <c r="H13" s="121">
        <f t="shared" si="1"/>
        <v>2338.875</v>
      </c>
      <c r="I13" s="121"/>
      <c r="J13" s="121">
        <f t="shared" si="2"/>
        <v>1396.375</v>
      </c>
      <c r="K13" s="123">
        <f t="shared" si="3"/>
        <v>1.4815649867374003</v>
      </c>
      <c r="L13" s="101"/>
      <c r="M13" s="101" t="s">
        <v>150</v>
      </c>
    </row>
    <row r="14" spans="1:13" x14ac:dyDescent="0.2">
      <c r="C14" t="s">
        <v>134</v>
      </c>
      <c r="D14" s="113">
        <v>0</v>
      </c>
      <c r="E14" s="121">
        <f t="shared" si="0"/>
        <v>0</v>
      </c>
      <c r="F14" s="101"/>
      <c r="G14" s="113">
        <v>72000</v>
      </c>
      <c r="H14" s="121">
        <f t="shared" si="1"/>
        <v>900</v>
      </c>
      <c r="I14" s="121"/>
      <c r="J14" s="121">
        <f t="shared" si="2"/>
        <v>900</v>
      </c>
      <c r="K14" s="124" t="s">
        <v>153</v>
      </c>
      <c r="L14" s="101"/>
      <c r="M14" s="101" t="s">
        <v>154</v>
      </c>
    </row>
    <row r="15" spans="1:13" x14ac:dyDescent="0.2">
      <c r="C15" t="s">
        <v>135</v>
      </c>
      <c r="D15" s="113">
        <v>182672</v>
      </c>
      <c r="E15" s="121">
        <f t="shared" si="0"/>
        <v>2283.4</v>
      </c>
      <c r="F15" s="101"/>
      <c r="G15" s="113">
        <v>110000</v>
      </c>
      <c r="H15" s="121">
        <f t="shared" si="1"/>
        <v>1375</v>
      </c>
      <c r="I15" s="121"/>
      <c r="J15" s="121">
        <f t="shared" si="2"/>
        <v>-908.40000000000009</v>
      </c>
      <c r="K15" s="123">
        <f t="shared" si="3"/>
        <v>-0.39782780064815626</v>
      </c>
      <c r="L15" s="101"/>
      <c r="M15" s="101" t="s">
        <v>155</v>
      </c>
    </row>
    <row r="16" spans="1:13" x14ac:dyDescent="0.2">
      <c r="C16" t="s">
        <v>136</v>
      </c>
      <c r="D16" s="113">
        <v>0</v>
      </c>
      <c r="E16" s="121">
        <f t="shared" si="0"/>
        <v>0</v>
      </c>
      <c r="F16" s="101"/>
      <c r="G16" s="113">
        <v>80000</v>
      </c>
      <c r="H16" s="121">
        <f t="shared" si="1"/>
        <v>1000</v>
      </c>
      <c r="I16" s="121"/>
      <c r="J16" s="121">
        <f t="shared" si="2"/>
        <v>1000</v>
      </c>
      <c r="K16" s="124" t="s">
        <v>153</v>
      </c>
      <c r="L16" s="101"/>
      <c r="M16" s="101" t="s">
        <v>156</v>
      </c>
    </row>
    <row r="17" spans="2:13" x14ac:dyDescent="0.2">
      <c r="C17" t="s">
        <v>137</v>
      </c>
      <c r="D17" s="113">
        <v>31200</v>
      </c>
      <c r="E17" s="121">
        <f t="shared" si="0"/>
        <v>390</v>
      </c>
      <c r="F17" s="101"/>
      <c r="G17" s="113">
        <v>7200</v>
      </c>
      <c r="H17" s="121">
        <f t="shared" si="1"/>
        <v>90</v>
      </c>
      <c r="I17" s="121"/>
      <c r="J17" s="121">
        <f t="shared" si="2"/>
        <v>-300</v>
      </c>
      <c r="K17" s="123">
        <f t="shared" si="3"/>
        <v>-0.76923076923076916</v>
      </c>
      <c r="L17" s="101"/>
      <c r="M17" s="101"/>
    </row>
    <row r="18" spans="2:13" x14ac:dyDescent="0.2">
      <c r="C18" t="s">
        <v>140</v>
      </c>
      <c r="D18" s="113">
        <v>20000</v>
      </c>
      <c r="E18" s="121">
        <f t="shared" si="0"/>
        <v>250</v>
      </c>
      <c r="F18" s="101"/>
      <c r="G18" s="113">
        <v>15000</v>
      </c>
      <c r="H18" s="121">
        <f t="shared" si="1"/>
        <v>187.5</v>
      </c>
      <c r="I18" s="121"/>
      <c r="J18" s="121">
        <f t="shared" si="2"/>
        <v>-62.5</v>
      </c>
      <c r="K18" s="123">
        <f t="shared" si="3"/>
        <v>-0.25</v>
      </c>
      <c r="L18" s="101"/>
      <c r="M18" s="101" t="s">
        <v>157</v>
      </c>
    </row>
    <row r="19" spans="2:13" x14ac:dyDescent="0.2">
      <c r="C19" t="s">
        <v>141</v>
      </c>
      <c r="D19" s="113">
        <v>45350</v>
      </c>
      <c r="E19" s="121">
        <f t="shared" si="0"/>
        <v>566.875</v>
      </c>
      <c r="F19" s="101"/>
      <c r="G19" s="113">
        <v>40000</v>
      </c>
      <c r="H19" s="121">
        <f t="shared" si="1"/>
        <v>500</v>
      </c>
      <c r="I19" s="121"/>
      <c r="J19" s="121">
        <f t="shared" si="2"/>
        <v>-66.875</v>
      </c>
      <c r="K19" s="123">
        <f t="shared" si="3"/>
        <v>-0.11797133406835725</v>
      </c>
      <c r="L19" s="101"/>
      <c r="M19" s="101" t="s">
        <v>158</v>
      </c>
    </row>
    <row r="20" spans="2:13" x14ac:dyDescent="0.2">
      <c r="C20" t="s">
        <v>142</v>
      </c>
      <c r="D20" s="113">
        <v>0</v>
      </c>
      <c r="E20" s="121">
        <f t="shared" si="0"/>
        <v>0</v>
      </c>
      <c r="F20" s="101"/>
      <c r="G20" s="113">
        <v>60000</v>
      </c>
      <c r="H20" s="121">
        <f t="shared" si="1"/>
        <v>750</v>
      </c>
      <c r="I20" s="121"/>
      <c r="J20" s="121">
        <f t="shared" si="2"/>
        <v>750</v>
      </c>
      <c r="K20" s="124" t="s">
        <v>153</v>
      </c>
      <c r="L20" s="101"/>
      <c r="M20" s="101" t="s">
        <v>158</v>
      </c>
    </row>
    <row r="21" spans="2:13" x14ac:dyDescent="0.2">
      <c r="C21" t="s">
        <v>143</v>
      </c>
      <c r="D21" s="113">
        <v>0</v>
      </c>
      <c r="E21" s="121">
        <f t="shared" si="0"/>
        <v>0</v>
      </c>
      <c r="F21" s="101"/>
      <c r="G21" s="113">
        <v>30000</v>
      </c>
      <c r="H21" s="121">
        <f t="shared" si="1"/>
        <v>375</v>
      </c>
      <c r="I21" s="121"/>
      <c r="J21" s="121">
        <f t="shared" si="2"/>
        <v>375</v>
      </c>
      <c r="K21" s="124" t="s">
        <v>153</v>
      </c>
      <c r="L21" s="101"/>
      <c r="M21" s="101" t="s">
        <v>159</v>
      </c>
    </row>
    <row r="22" spans="2:13" x14ac:dyDescent="0.2">
      <c r="C22" t="s">
        <v>144</v>
      </c>
      <c r="D22" s="113">
        <v>4000</v>
      </c>
      <c r="E22" s="121">
        <f t="shared" si="0"/>
        <v>50</v>
      </c>
      <c r="F22" s="101"/>
      <c r="G22" s="113">
        <v>12000</v>
      </c>
      <c r="H22" s="121">
        <f t="shared" si="1"/>
        <v>150</v>
      </c>
      <c r="I22" s="121"/>
      <c r="J22" s="121">
        <f t="shared" si="2"/>
        <v>100</v>
      </c>
      <c r="K22" s="123">
        <f t="shared" si="3"/>
        <v>2</v>
      </c>
      <c r="L22" s="101"/>
      <c r="M22" s="101"/>
    </row>
    <row r="23" spans="2:13" x14ac:dyDescent="0.2">
      <c r="C23" t="s">
        <v>145</v>
      </c>
      <c r="D23" s="113">
        <v>0</v>
      </c>
      <c r="E23" s="121">
        <f t="shared" si="0"/>
        <v>0</v>
      </c>
      <c r="F23" s="101"/>
      <c r="G23" s="113">
        <v>50000</v>
      </c>
      <c r="H23" s="121">
        <f t="shared" si="1"/>
        <v>625</v>
      </c>
      <c r="I23" s="121"/>
      <c r="J23" s="121">
        <f t="shared" si="2"/>
        <v>625</v>
      </c>
      <c r="K23" s="124" t="s">
        <v>153</v>
      </c>
      <c r="L23" s="101"/>
      <c r="M23" s="101" t="s">
        <v>158</v>
      </c>
    </row>
    <row r="24" spans="2:13" x14ac:dyDescent="0.2">
      <c r="C24" t="s">
        <v>146</v>
      </c>
      <c r="D24" s="113">
        <v>0</v>
      </c>
      <c r="E24" s="121">
        <f t="shared" si="0"/>
        <v>0</v>
      </c>
      <c r="F24" s="101"/>
      <c r="G24" s="113">
        <v>3000</v>
      </c>
      <c r="H24" s="121">
        <f t="shared" si="1"/>
        <v>37.5</v>
      </c>
      <c r="I24" s="121"/>
      <c r="J24" s="121">
        <f t="shared" si="2"/>
        <v>37.5</v>
      </c>
      <c r="K24" s="124" t="s">
        <v>153</v>
      </c>
      <c r="L24" s="101"/>
      <c r="M24" s="101" t="s">
        <v>160</v>
      </c>
    </row>
    <row r="25" spans="2:13" x14ac:dyDescent="0.2">
      <c r="C25" t="s">
        <v>147</v>
      </c>
      <c r="D25" s="113">
        <v>0</v>
      </c>
      <c r="E25" s="121">
        <f t="shared" si="0"/>
        <v>0</v>
      </c>
      <c r="F25" s="101"/>
      <c r="G25" s="113">
        <v>12000</v>
      </c>
      <c r="H25" s="121">
        <f t="shared" si="1"/>
        <v>150</v>
      </c>
      <c r="I25" s="121"/>
      <c r="J25" s="121">
        <f t="shared" si="2"/>
        <v>150</v>
      </c>
      <c r="K25" s="124" t="s">
        <v>153</v>
      </c>
      <c r="L25" s="101"/>
      <c r="M25" s="101" t="s">
        <v>161</v>
      </c>
    </row>
    <row r="26" spans="2:13" x14ac:dyDescent="0.2">
      <c r="C26" s="107"/>
      <c r="D26" s="114">
        <f>SUM(D12:D25)</f>
        <v>2398472</v>
      </c>
      <c r="E26" s="122">
        <f>SUM(E12:E25)</f>
        <v>29980.9</v>
      </c>
      <c r="F26" s="108"/>
      <c r="G26" s="114">
        <f>SUM(G12:G25)</f>
        <v>3571710</v>
      </c>
      <c r="H26" s="122">
        <f>SUM(H12:H25)</f>
        <v>44646.375</v>
      </c>
      <c r="I26" s="114"/>
      <c r="J26" s="122">
        <f t="shared" si="2"/>
        <v>14665.474999999999</v>
      </c>
      <c r="K26" s="125">
        <f t="shared" si="3"/>
        <v>0.48916059891464214</v>
      </c>
      <c r="L26" s="101"/>
      <c r="M26" s="101"/>
    </row>
    <row r="27" spans="2:13" x14ac:dyDescent="0.2">
      <c r="D27" s="115"/>
      <c r="E27" s="118"/>
      <c r="F27" s="101"/>
      <c r="G27" s="101"/>
      <c r="H27" s="101"/>
      <c r="I27" s="101"/>
      <c r="J27" s="101"/>
      <c r="K27" s="101"/>
      <c r="L27" s="101"/>
      <c r="M27" s="101"/>
    </row>
    <row r="28" spans="2:13" x14ac:dyDescent="0.2">
      <c r="B28" t="s">
        <v>120</v>
      </c>
      <c r="D28" s="115"/>
      <c r="E28" s="118"/>
      <c r="F28" s="101"/>
      <c r="G28" s="101"/>
      <c r="H28" s="101"/>
      <c r="I28" s="101"/>
      <c r="J28" s="101"/>
      <c r="K28" s="101"/>
      <c r="L28" s="101"/>
      <c r="M28" s="101"/>
    </row>
    <row r="29" spans="2:13" x14ac:dyDescent="0.2">
      <c r="C29" t="s">
        <v>367</v>
      </c>
      <c r="D29" s="113">
        <v>0</v>
      </c>
      <c r="E29" s="121">
        <f>D29/rate</f>
        <v>0</v>
      </c>
      <c r="F29" s="101"/>
      <c r="G29" s="113">
        <v>51200</v>
      </c>
      <c r="H29" s="121">
        <f>G29/rate</f>
        <v>640</v>
      </c>
      <c r="I29" s="101"/>
      <c r="J29" s="101"/>
      <c r="K29" s="101"/>
      <c r="L29" s="101"/>
      <c r="M29" s="101"/>
    </row>
    <row r="30" spans="2:13" x14ac:dyDescent="0.2">
      <c r="C30" t="s">
        <v>368</v>
      </c>
      <c r="D30" s="113">
        <v>42100</v>
      </c>
      <c r="E30" s="121">
        <f>D30/rate</f>
        <v>526.25</v>
      </c>
      <c r="F30" s="101"/>
      <c r="G30" s="113">
        <v>86060</v>
      </c>
      <c r="H30" s="121">
        <f>G30/rate</f>
        <v>1075.75</v>
      </c>
      <c r="I30" s="101"/>
      <c r="J30" s="101"/>
      <c r="K30" s="101"/>
      <c r="L30" s="101"/>
      <c r="M30" s="101"/>
    </row>
    <row r="31" spans="2:13" x14ac:dyDescent="0.2">
      <c r="C31" t="s">
        <v>369</v>
      </c>
      <c r="D31" s="113">
        <v>8024</v>
      </c>
      <c r="E31" s="121">
        <f>D31/rate</f>
        <v>100.3</v>
      </c>
      <c r="F31" s="101"/>
      <c r="G31" s="113">
        <v>15000</v>
      </c>
      <c r="H31" s="121">
        <f>G31/rate</f>
        <v>187.5</v>
      </c>
      <c r="I31" s="101"/>
      <c r="J31" s="101"/>
      <c r="K31" s="101"/>
      <c r="L31" s="101"/>
      <c r="M31" s="101"/>
    </row>
    <row r="32" spans="2:13" x14ac:dyDescent="0.2">
      <c r="C32" t="s">
        <v>370</v>
      </c>
      <c r="D32" s="113">
        <v>0</v>
      </c>
      <c r="E32" s="121">
        <f>D32/rate</f>
        <v>0</v>
      </c>
      <c r="F32" s="101"/>
      <c r="G32" s="113">
        <v>65000</v>
      </c>
      <c r="H32" s="121">
        <f>G32/rate</f>
        <v>812.5</v>
      </c>
      <c r="I32" s="101"/>
      <c r="J32" s="101"/>
      <c r="K32" s="101"/>
      <c r="L32" s="101"/>
      <c r="M32" s="101"/>
    </row>
    <row r="33" spans="2:13" x14ac:dyDescent="0.2">
      <c r="C33" t="s">
        <v>371</v>
      </c>
      <c r="D33" s="113">
        <v>14995</v>
      </c>
      <c r="E33" s="121">
        <f>D33/rate</f>
        <v>187.4375</v>
      </c>
      <c r="F33" s="101"/>
      <c r="G33" s="113">
        <v>15000</v>
      </c>
      <c r="H33" s="121">
        <f>G33/rate</f>
        <v>187.5</v>
      </c>
      <c r="I33" s="101"/>
      <c r="J33" s="101"/>
      <c r="K33" s="101"/>
      <c r="L33" s="101"/>
      <c r="M33" s="101"/>
    </row>
    <row r="34" spans="2:13" x14ac:dyDescent="0.2">
      <c r="C34" s="107"/>
      <c r="D34" s="114">
        <f>SUM(D29:D33)</f>
        <v>65119</v>
      </c>
      <c r="E34" s="122">
        <f>SUM(E29:E33)</f>
        <v>813.98749999999995</v>
      </c>
      <c r="F34" s="108"/>
      <c r="G34" s="114">
        <f>SUM(G29:G33)</f>
        <v>232260</v>
      </c>
      <c r="H34" s="122">
        <f>SUM(H29:H33)</f>
        <v>2903.25</v>
      </c>
      <c r="I34" s="101"/>
      <c r="J34" s="101"/>
      <c r="K34" s="101"/>
      <c r="L34" s="101"/>
      <c r="M34" s="101"/>
    </row>
    <row r="35" spans="2:13" x14ac:dyDescent="0.2">
      <c r="D35" s="115"/>
      <c r="E35" s="118"/>
      <c r="F35" s="101"/>
      <c r="G35" s="101"/>
      <c r="H35" s="101"/>
      <c r="I35" s="101"/>
      <c r="J35" s="101"/>
      <c r="K35" s="101"/>
      <c r="L35" s="101"/>
      <c r="M35" s="101"/>
    </row>
    <row r="36" spans="2:13" x14ac:dyDescent="0.2">
      <c r="B36" t="s">
        <v>121</v>
      </c>
      <c r="D36" s="115"/>
      <c r="E36" s="118"/>
      <c r="F36" s="101"/>
      <c r="G36" s="101"/>
      <c r="H36" s="101"/>
      <c r="I36" s="101"/>
      <c r="J36" s="101"/>
      <c r="K36" s="101"/>
      <c r="L36" s="101"/>
      <c r="M36" s="101"/>
    </row>
    <row r="37" spans="2:13" x14ac:dyDescent="0.2">
      <c r="C37" t="s">
        <v>372</v>
      </c>
      <c r="D37" s="113">
        <v>1282500</v>
      </c>
      <c r="E37" s="121">
        <f>D37/rate</f>
        <v>16031.25</v>
      </c>
      <c r="F37" s="101"/>
      <c r="G37" s="113">
        <v>806280</v>
      </c>
      <c r="H37" s="121">
        <f>G37/rate</f>
        <v>10078.5</v>
      </c>
      <c r="I37" s="101"/>
      <c r="J37" s="101"/>
      <c r="K37" s="101"/>
      <c r="L37" s="101"/>
      <c r="M37" s="101"/>
    </row>
    <row r="38" spans="2:13" x14ac:dyDescent="0.2">
      <c r="C38" s="107"/>
      <c r="D38" s="114">
        <f>D37</f>
        <v>1282500</v>
      </c>
      <c r="E38" s="122">
        <f>E37</f>
        <v>16031.25</v>
      </c>
      <c r="F38" s="108"/>
      <c r="G38" s="114">
        <f>G37</f>
        <v>806280</v>
      </c>
      <c r="H38" s="122">
        <f>SUM(H37)</f>
        <v>10078.5</v>
      </c>
      <c r="I38" s="101"/>
      <c r="J38" s="101"/>
      <c r="K38" s="101"/>
      <c r="L38" s="101"/>
      <c r="M38" s="101"/>
    </row>
    <row r="39" spans="2:13" x14ac:dyDescent="0.2">
      <c r="D39" s="115"/>
      <c r="E39" s="118"/>
      <c r="F39" s="101"/>
      <c r="G39" s="101"/>
      <c r="H39" s="101"/>
      <c r="I39" s="101"/>
      <c r="J39" s="101"/>
      <c r="K39" s="101"/>
      <c r="L39" s="101"/>
      <c r="M39" s="101"/>
    </row>
    <row r="40" spans="2:13" x14ac:dyDescent="0.2">
      <c r="B40" t="s">
        <v>122</v>
      </c>
      <c r="D40" s="115"/>
      <c r="E40" s="118"/>
      <c r="F40" s="101"/>
      <c r="G40" s="101"/>
      <c r="H40" s="101"/>
      <c r="I40" s="101"/>
      <c r="J40" s="101"/>
      <c r="K40" s="101"/>
      <c r="L40" s="101"/>
      <c r="M40" s="101"/>
    </row>
    <row r="41" spans="2:13" x14ac:dyDescent="0.2">
      <c r="C41" t="s">
        <v>122</v>
      </c>
      <c r="D41" s="113">
        <v>131158</v>
      </c>
      <c r="E41" s="121">
        <f>D41/rate</f>
        <v>1639.4749999999999</v>
      </c>
      <c r="F41" s="101"/>
      <c r="G41" s="113">
        <v>120000</v>
      </c>
      <c r="H41" s="121">
        <f>G41/rate</f>
        <v>1500</v>
      </c>
      <c r="I41" s="101"/>
      <c r="J41" s="101"/>
      <c r="K41" s="101"/>
      <c r="L41" s="101"/>
      <c r="M41" s="101" t="s">
        <v>377</v>
      </c>
    </row>
    <row r="42" spans="2:13" x14ac:dyDescent="0.2">
      <c r="C42" s="107"/>
      <c r="D42" s="114">
        <f>D41</f>
        <v>131158</v>
      </c>
      <c r="E42" s="122">
        <f>E41</f>
        <v>1639.4749999999999</v>
      </c>
      <c r="F42" s="108"/>
      <c r="G42" s="114">
        <f>G41</f>
        <v>120000</v>
      </c>
      <c r="H42" s="122">
        <f>SUM(H41)</f>
        <v>1500</v>
      </c>
      <c r="I42" s="101"/>
      <c r="J42" s="101"/>
      <c r="K42" s="101"/>
      <c r="L42" s="101"/>
      <c r="M42" s="101"/>
    </row>
    <row r="43" spans="2:13" x14ac:dyDescent="0.2">
      <c r="D43" s="115"/>
      <c r="E43" s="118"/>
      <c r="F43" s="101"/>
      <c r="G43" s="101"/>
      <c r="H43" s="101"/>
      <c r="I43" s="101"/>
      <c r="J43" s="101"/>
      <c r="K43" s="101"/>
      <c r="L43" s="101"/>
      <c r="M43" s="101"/>
    </row>
    <row r="44" spans="2:13" x14ac:dyDescent="0.2">
      <c r="B44" t="s">
        <v>123</v>
      </c>
      <c r="D44" s="115"/>
      <c r="E44" s="118"/>
      <c r="F44" s="101"/>
      <c r="G44" s="101"/>
      <c r="H44" s="101"/>
      <c r="I44" s="101"/>
      <c r="J44" s="101"/>
      <c r="K44" s="101"/>
      <c r="L44" s="101"/>
      <c r="M44" s="101"/>
    </row>
    <row r="45" spans="2:13" x14ac:dyDescent="0.2">
      <c r="C45" t="s">
        <v>378</v>
      </c>
      <c r="D45" s="113">
        <v>808650</v>
      </c>
      <c r="E45" s="121">
        <f>D45/rate</f>
        <v>10108.125</v>
      </c>
      <c r="F45" s="101"/>
      <c r="G45" s="113">
        <v>999000</v>
      </c>
      <c r="H45" s="121">
        <f>G45/rate</f>
        <v>12487.5</v>
      </c>
      <c r="I45" s="101"/>
      <c r="J45" s="101"/>
      <c r="K45" s="101"/>
      <c r="L45" s="101"/>
      <c r="M45" s="101" t="s">
        <v>376</v>
      </c>
    </row>
    <row r="46" spans="2:13" x14ac:dyDescent="0.2">
      <c r="C46" t="s">
        <v>373</v>
      </c>
      <c r="D46" s="113">
        <v>61200</v>
      </c>
      <c r="E46" s="121">
        <f>D46/rate</f>
        <v>765</v>
      </c>
      <c r="F46" s="101"/>
      <c r="G46" s="113">
        <v>205200</v>
      </c>
      <c r="H46" s="121">
        <f>G46/rate</f>
        <v>2565</v>
      </c>
      <c r="I46" s="101"/>
      <c r="J46" s="101"/>
      <c r="K46" s="101"/>
      <c r="L46" s="101"/>
      <c r="M46" s="101"/>
    </row>
    <row r="47" spans="2:13" x14ac:dyDescent="0.2">
      <c r="C47" t="s">
        <v>374</v>
      </c>
      <c r="D47" s="113">
        <v>0</v>
      </c>
      <c r="E47" s="121">
        <f>D47/rate</f>
        <v>0</v>
      </c>
      <c r="F47" s="101"/>
      <c r="G47" s="113">
        <v>5000</v>
      </c>
      <c r="H47" s="121">
        <f>G47/rate</f>
        <v>62.5</v>
      </c>
      <c r="I47" s="101"/>
      <c r="J47" s="101"/>
      <c r="K47" s="101"/>
      <c r="L47" s="101"/>
      <c r="M47" s="101"/>
    </row>
    <row r="48" spans="2:13" x14ac:dyDescent="0.2">
      <c r="C48" t="s">
        <v>375</v>
      </c>
      <c r="D48" s="113">
        <v>0</v>
      </c>
      <c r="E48" s="121">
        <f>D48/rate</f>
        <v>0</v>
      </c>
      <c r="F48" s="101"/>
      <c r="G48" s="113">
        <v>5000</v>
      </c>
      <c r="H48" s="121">
        <f>G48/rate</f>
        <v>62.5</v>
      </c>
      <c r="I48" s="101"/>
      <c r="J48" s="101"/>
      <c r="K48" s="101"/>
      <c r="L48" s="101"/>
      <c r="M48" s="101"/>
    </row>
    <row r="49" spans="2:13" x14ac:dyDescent="0.2">
      <c r="C49" s="107"/>
      <c r="D49" s="114">
        <f>SUM(D45:D48)</f>
        <v>869850</v>
      </c>
      <c r="E49" s="122">
        <f>SUM(E45:E48)</f>
        <v>10873.125</v>
      </c>
      <c r="F49" s="108"/>
      <c r="G49" s="114">
        <f>SUM(G45:G48)</f>
        <v>1214200</v>
      </c>
      <c r="H49" s="122">
        <f>SUM(H45:H48)</f>
        <v>15177.5</v>
      </c>
      <c r="I49" s="101"/>
      <c r="J49" s="101"/>
      <c r="K49" s="101"/>
      <c r="L49" s="101"/>
      <c r="M49" s="101"/>
    </row>
    <row r="50" spans="2:13" x14ac:dyDescent="0.2">
      <c r="D50" s="115"/>
      <c r="E50" s="118"/>
      <c r="F50" s="101"/>
      <c r="G50" s="101"/>
      <c r="H50" s="101"/>
      <c r="I50" s="101"/>
      <c r="J50" s="101"/>
      <c r="K50" s="101"/>
      <c r="L50" s="101"/>
      <c r="M50" s="101"/>
    </row>
    <row r="51" spans="2:13" x14ac:dyDescent="0.2">
      <c r="B51" t="s">
        <v>124</v>
      </c>
      <c r="D51" s="115"/>
      <c r="E51" s="118"/>
      <c r="F51" s="101"/>
      <c r="G51" s="101"/>
      <c r="H51" s="101"/>
      <c r="I51" s="101"/>
      <c r="J51" s="101"/>
      <c r="K51" s="101"/>
      <c r="L51" s="101"/>
      <c r="M51" s="101"/>
    </row>
    <row r="52" spans="2:13" x14ac:dyDescent="0.2">
      <c r="C52" t="s">
        <v>379</v>
      </c>
      <c r="D52" s="113">
        <v>0</v>
      </c>
      <c r="E52" s="121">
        <f>D52/rate</f>
        <v>0</v>
      </c>
      <c r="F52" s="101"/>
      <c r="G52" s="101">
        <v>543695</v>
      </c>
      <c r="H52" s="121">
        <f>G52/rate</f>
        <v>6796.1875</v>
      </c>
      <c r="I52" s="101"/>
      <c r="J52" s="101"/>
      <c r="K52" s="101"/>
      <c r="L52" s="101"/>
      <c r="M52" s="101"/>
    </row>
    <row r="53" spans="2:13" x14ac:dyDescent="0.2">
      <c r="C53" t="s">
        <v>380</v>
      </c>
      <c r="D53" s="113">
        <v>14000</v>
      </c>
      <c r="E53" s="121">
        <f>D53/rate</f>
        <v>175</v>
      </c>
      <c r="F53" s="101"/>
      <c r="G53" s="101">
        <v>20000</v>
      </c>
      <c r="H53" s="121">
        <f>G53/rate</f>
        <v>250</v>
      </c>
      <c r="I53" s="101"/>
      <c r="J53" s="101"/>
      <c r="K53" s="101"/>
      <c r="L53" s="101"/>
      <c r="M53" s="101"/>
    </row>
    <row r="54" spans="2:13" x14ac:dyDescent="0.2">
      <c r="C54" s="107"/>
      <c r="D54" s="114">
        <f>SUM(D52:D53)</f>
        <v>14000</v>
      </c>
      <c r="E54" s="122">
        <f>SUM(E52:E53)</f>
        <v>175</v>
      </c>
      <c r="F54" s="108"/>
      <c r="G54" s="114">
        <f>SUM(G52:G53)</f>
        <v>563695</v>
      </c>
      <c r="H54" s="122">
        <f>SUM(H52:H53)</f>
        <v>7046.1875</v>
      </c>
      <c r="I54" s="101"/>
      <c r="J54" s="101"/>
      <c r="K54" s="101"/>
      <c r="L54" s="101"/>
      <c r="M54" s="101"/>
    </row>
    <row r="55" spans="2:13" x14ac:dyDescent="0.2">
      <c r="D55" s="115"/>
      <c r="E55" s="118"/>
      <c r="F55" s="101"/>
      <c r="G55" s="101"/>
      <c r="H55" s="101"/>
      <c r="I55" s="101"/>
      <c r="J55" s="101"/>
      <c r="K55" s="101"/>
      <c r="L55" s="101"/>
      <c r="M55" s="101"/>
    </row>
    <row r="56" spans="2:13" x14ac:dyDescent="0.2">
      <c r="B56" t="s">
        <v>125</v>
      </c>
      <c r="D56" s="115"/>
      <c r="E56" s="118"/>
      <c r="F56" s="101"/>
      <c r="G56" s="101"/>
      <c r="H56" s="101"/>
      <c r="I56" s="101"/>
      <c r="J56" s="101"/>
      <c r="K56" s="101"/>
      <c r="L56" s="101"/>
      <c r="M56" s="101"/>
    </row>
    <row r="57" spans="2:13" x14ac:dyDescent="0.2">
      <c r="C57" t="s">
        <v>125</v>
      </c>
      <c r="D57" s="113">
        <v>0</v>
      </c>
      <c r="E57" s="121">
        <f>D57/rate</f>
        <v>0</v>
      </c>
      <c r="F57" s="101"/>
      <c r="G57" s="113">
        <v>0</v>
      </c>
      <c r="H57" s="121">
        <f>G57/rate</f>
        <v>0</v>
      </c>
      <c r="I57" s="101"/>
      <c r="J57" s="101"/>
      <c r="K57" s="101"/>
      <c r="L57" s="101"/>
      <c r="M57" s="101"/>
    </row>
    <row r="58" spans="2:13" x14ac:dyDescent="0.2">
      <c r="C58" s="107"/>
      <c r="D58" s="114">
        <f>D57</f>
        <v>0</v>
      </c>
      <c r="E58" s="122">
        <f>E57</f>
        <v>0</v>
      </c>
      <c r="F58" s="108"/>
      <c r="G58" s="114">
        <f>G57</f>
        <v>0</v>
      </c>
      <c r="H58" s="122">
        <f>SUM(H57)</f>
        <v>0</v>
      </c>
      <c r="I58" s="101"/>
      <c r="J58" s="101"/>
      <c r="K58" s="101"/>
      <c r="L58" s="101"/>
      <c r="M58" s="101"/>
    </row>
    <row r="59" spans="2:13" x14ac:dyDescent="0.2">
      <c r="D59" s="115"/>
      <c r="E59" s="118" t="s">
        <v>23</v>
      </c>
      <c r="F59" s="101"/>
      <c r="G59" s="101"/>
      <c r="H59" s="101"/>
      <c r="I59" s="101"/>
      <c r="J59" s="101"/>
      <c r="K59" s="101"/>
      <c r="L59" s="101"/>
      <c r="M59" s="101"/>
    </row>
    <row r="60" spans="2:13" x14ac:dyDescent="0.2">
      <c r="B60" t="s">
        <v>126</v>
      </c>
      <c r="D60" s="115"/>
      <c r="E60" s="118"/>
      <c r="F60" s="101"/>
      <c r="G60" s="101"/>
      <c r="H60" s="101"/>
      <c r="I60" s="101"/>
      <c r="J60" s="101"/>
      <c r="K60" s="101"/>
      <c r="L60" s="101"/>
      <c r="M60" s="101"/>
    </row>
    <row r="61" spans="2:13" x14ac:dyDescent="0.2">
      <c r="C61" t="s">
        <v>382</v>
      </c>
      <c r="D61" s="301">
        <f>(SUM(D9,D26,D34,D42,D49,D54,D58)-D12-D45)*10%</f>
        <v>244661.29100000003</v>
      </c>
      <c r="E61" s="121">
        <f>D61/rate</f>
        <v>3058.2661375000002</v>
      </c>
      <c r="F61" s="101"/>
      <c r="G61" s="301">
        <f>(SUM(G9,G26,G34,G42,G49,G54,G58)-G12-G45)*10%</f>
        <v>399609</v>
      </c>
      <c r="H61" s="121">
        <f>G61/rate</f>
        <v>4995.1125000000002</v>
      </c>
      <c r="I61" s="101"/>
      <c r="J61" s="101"/>
      <c r="K61" s="101"/>
      <c r="L61" s="101"/>
      <c r="M61" s="101" t="s">
        <v>381</v>
      </c>
    </row>
    <row r="62" spans="2:13" x14ac:dyDescent="0.2">
      <c r="C62" s="107"/>
      <c r="D62" s="114">
        <f>D61</f>
        <v>244661.29100000003</v>
      </c>
      <c r="E62" s="122">
        <f>E61</f>
        <v>3058.2661375000002</v>
      </c>
      <c r="F62" s="108"/>
      <c r="G62" s="114">
        <f>G61</f>
        <v>399609</v>
      </c>
      <c r="H62" s="122">
        <f>SUM(H61)</f>
        <v>4995.1125000000002</v>
      </c>
      <c r="I62" s="101"/>
      <c r="J62" s="101"/>
      <c r="K62" s="101"/>
      <c r="L62" s="101"/>
      <c r="M62" s="101"/>
    </row>
    <row r="63" spans="2:13" x14ac:dyDescent="0.2">
      <c r="D63" s="115"/>
      <c r="E63" s="118"/>
      <c r="F63" s="101"/>
      <c r="G63" s="101"/>
      <c r="H63" s="101"/>
      <c r="I63" s="101"/>
      <c r="J63" s="101"/>
      <c r="K63" s="101"/>
      <c r="L63" s="101"/>
      <c r="M63" s="101"/>
    </row>
    <row r="64" spans="2:13" x14ac:dyDescent="0.2">
      <c r="B64" s="3" t="s">
        <v>383</v>
      </c>
      <c r="C64" s="3"/>
      <c r="D64" s="302">
        <f>D9+D26+D34+D38+D42+D49+D54+D58+D62</f>
        <v>6822274.2010000004</v>
      </c>
      <c r="E64" s="303">
        <f>E9+E26+E34+E38+E42+E49+E54+E58+E62</f>
        <v>85278.427512500013</v>
      </c>
      <c r="F64" s="188"/>
      <c r="G64" s="302">
        <f>G9+G26+G34+G38+G42+G49+G54+G58+G62</f>
        <v>9094379</v>
      </c>
      <c r="H64" s="303">
        <f>H9+H26+H34+H38+H42+H49+H54+H58+H62</f>
        <v>113679.7375</v>
      </c>
      <c r="I64" s="188"/>
      <c r="J64" s="188"/>
      <c r="K64" s="188"/>
      <c r="L64" s="188"/>
      <c r="M64" s="101"/>
    </row>
    <row r="65" spans="3:13" x14ac:dyDescent="0.2">
      <c r="D65" s="101"/>
      <c r="E65" s="118"/>
      <c r="F65" s="101"/>
      <c r="G65" s="101"/>
      <c r="H65" s="101"/>
      <c r="I65" s="101"/>
      <c r="J65" s="101"/>
      <c r="K65" s="101"/>
      <c r="L65" s="101"/>
      <c r="M65" s="101"/>
    </row>
    <row r="66" spans="3:13" x14ac:dyDescent="0.2">
      <c r="D66" s="101"/>
      <c r="E66" s="118"/>
      <c r="F66" s="101"/>
      <c r="G66" s="101"/>
      <c r="H66" s="101"/>
      <c r="I66" s="101"/>
      <c r="J66" s="101"/>
      <c r="K66" s="101"/>
      <c r="L66" s="101"/>
      <c r="M66" s="101"/>
    </row>
    <row r="67" spans="3:13" x14ac:dyDescent="0.2">
      <c r="D67" s="101"/>
      <c r="E67" s="118"/>
      <c r="F67" s="101"/>
      <c r="G67" s="101">
        <f>G45+G38+G12</f>
        <v>4698680</v>
      </c>
      <c r="H67" s="101"/>
      <c r="I67" s="101"/>
      <c r="J67" s="101"/>
      <c r="K67" s="101"/>
      <c r="L67" s="101"/>
      <c r="M67" s="101"/>
    </row>
    <row r="68" spans="3:13" x14ac:dyDescent="0.2">
      <c r="D68" s="101"/>
      <c r="E68" s="118"/>
      <c r="F68" s="101"/>
      <c r="G68" s="101" t="s">
        <v>23</v>
      </c>
      <c r="H68" s="101"/>
      <c r="I68" s="101"/>
      <c r="J68" s="101"/>
      <c r="K68" s="101"/>
      <c r="L68" s="101"/>
      <c r="M68" s="101"/>
    </row>
    <row r="69" spans="3:13" x14ac:dyDescent="0.2">
      <c r="D69" s="101"/>
      <c r="E69" s="118"/>
      <c r="F69" s="101"/>
      <c r="G69" s="101" t="s">
        <v>23</v>
      </c>
      <c r="H69" s="101"/>
      <c r="I69" s="101"/>
      <c r="J69" s="101"/>
      <c r="K69" s="101"/>
      <c r="L69" s="101"/>
      <c r="M69" s="101"/>
    </row>
    <row r="70" spans="3:13" x14ac:dyDescent="0.2">
      <c r="D70" s="101"/>
      <c r="E70" s="118"/>
      <c r="F70" s="101"/>
      <c r="G70" s="101"/>
      <c r="H70" s="101"/>
      <c r="I70" s="101"/>
      <c r="J70" s="101"/>
      <c r="K70" s="101"/>
      <c r="L70" s="101"/>
      <c r="M70" s="101"/>
    </row>
    <row r="71" spans="3:13" x14ac:dyDescent="0.2">
      <c r="D71" s="101"/>
      <c r="E71" s="118"/>
      <c r="F71" s="101"/>
      <c r="G71" s="101">
        <f>G72*10%</f>
        <v>399609</v>
      </c>
      <c r="H71" s="101"/>
      <c r="I71" s="101"/>
      <c r="J71" s="101"/>
      <c r="K71" s="101"/>
      <c r="L71" s="101"/>
      <c r="M71" s="101"/>
    </row>
    <row r="72" spans="3:13" x14ac:dyDescent="0.2">
      <c r="D72" s="101"/>
      <c r="E72" s="118"/>
      <c r="F72" s="101"/>
      <c r="G72" s="101">
        <f>G54+G48+G47+G46+G42+G34+G9+SUM(G13:G25)</f>
        <v>3996090</v>
      </c>
      <c r="H72" s="101"/>
      <c r="I72" s="101"/>
      <c r="J72" s="101"/>
      <c r="K72" s="101"/>
      <c r="L72" s="101"/>
      <c r="M72" s="101"/>
    </row>
    <row r="73" spans="3:13" x14ac:dyDescent="0.2">
      <c r="D73" s="101"/>
      <c r="E73" s="118"/>
      <c r="F73" s="101"/>
      <c r="G73" s="101"/>
      <c r="H73" s="101"/>
      <c r="I73" s="101"/>
      <c r="J73" s="101"/>
      <c r="K73" s="101"/>
      <c r="L73" s="101"/>
      <c r="M73" s="101"/>
    </row>
    <row r="74" spans="3:13" x14ac:dyDescent="0.2">
      <c r="D74" s="101"/>
      <c r="E74" s="118"/>
      <c r="F74" s="101"/>
      <c r="G74" s="101">
        <f>G72+G71</f>
        <v>4395699</v>
      </c>
      <c r="H74" s="101" t="s">
        <v>23</v>
      </c>
      <c r="I74" s="101"/>
      <c r="J74" s="101"/>
      <c r="K74" s="101"/>
      <c r="L74" s="101"/>
      <c r="M74" s="101"/>
    </row>
    <row r="75" spans="3:13" x14ac:dyDescent="0.2">
      <c r="D75" s="101"/>
      <c r="E75" s="118"/>
      <c r="F75" s="101"/>
      <c r="G75" s="101"/>
      <c r="H75" s="101"/>
      <c r="I75" s="101"/>
      <c r="J75" s="101"/>
      <c r="K75" s="101"/>
      <c r="L75" s="101"/>
      <c r="M75" s="101"/>
    </row>
    <row r="76" spans="3:13" x14ac:dyDescent="0.2">
      <c r="D76" s="101"/>
      <c r="E76" s="118"/>
      <c r="F76" s="101"/>
      <c r="G76" s="101"/>
      <c r="H76" s="101"/>
      <c r="I76" s="101"/>
      <c r="J76" s="101"/>
      <c r="K76" s="101"/>
      <c r="L76" s="101"/>
      <c r="M76" s="101"/>
    </row>
    <row r="77" spans="3:13" x14ac:dyDescent="0.2">
      <c r="C77">
        <v>49</v>
      </c>
      <c r="D77" s="101">
        <v>100000</v>
      </c>
      <c r="E77" s="118"/>
      <c r="F77" s="101"/>
      <c r="G77" s="101"/>
      <c r="H77" s="101"/>
      <c r="I77" s="101"/>
      <c r="J77" s="101"/>
      <c r="K77" s="101"/>
      <c r="L77" s="101"/>
      <c r="M77" s="101"/>
    </row>
    <row r="78" spans="3:13" x14ac:dyDescent="0.2">
      <c r="D78" s="101">
        <f>C77*D77</f>
        <v>4900000</v>
      </c>
      <c r="E78" s="118"/>
      <c r="F78" s="101"/>
      <c r="G78" s="101"/>
      <c r="H78" s="101"/>
      <c r="I78" s="101"/>
      <c r="J78" s="101"/>
      <c r="K78" s="101"/>
      <c r="L78" s="101"/>
      <c r="M78" s="101"/>
    </row>
    <row r="79" spans="3:13" x14ac:dyDescent="0.2">
      <c r="C79">
        <f>4900000</f>
        <v>4900000</v>
      </c>
      <c r="D79" s="101">
        <f>D78/80</f>
        <v>61250</v>
      </c>
      <c r="E79" s="118"/>
      <c r="F79" s="101"/>
      <c r="G79" s="101"/>
      <c r="H79" s="101"/>
      <c r="I79" s="101"/>
      <c r="J79" s="101"/>
      <c r="K79" s="101"/>
      <c r="L79" s="101"/>
      <c r="M79" s="101"/>
    </row>
    <row r="80" spans="3:13" x14ac:dyDescent="0.2">
      <c r="C80">
        <f>C79/80</f>
        <v>61250</v>
      </c>
      <c r="D80" s="101">
        <f>D78*7%</f>
        <v>343000.00000000006</v>
      </c>
      <c r="E80" s="118"/>
      <c r="F80" s="101"/>
      <c r="G80" s="101"/>
      <c r="H80" s="101"/>
      <c r="I80" s="101"/>
      <c r="J80" s="101"/>
      <c r="K80" s="101"/>
      <c r="L80" s="101"/>
      <c r="M80" s="101"/>
    </row>
    <row r="81" spans="3:13" x14ac:dyDescent="0.2">
      <c r="C81">
        <f>C79*7%</f>
        <v>343000.00000000006</v>
      </c>
      <c r="D81" s="101">
        <f>D80/80</f>
        <v>4287.5000000000009</v>
      </c>
      <c r="E81" s="118"/>
      <c r="F81" s="101"/>
      <c r="G81" s="101"/>
      <c r="H81" s="101"/>
      <c r="I81" s="101"/>
      <c r="J81" s="101"/>
      <c r="K81" s="101"/>
      <c r="L81" s="101"/>
      <c r="M81" s="101"/>
    </row>
    <row r="82" spans="3:13" x14ac:dyDescent="0.2">
      <c r="D82" s="101"/>
      <c r="E82" s="118"/>
      <c r="F82" s="101"/>
      <c r="G82" s="101"/>
      <c r="H82" s="101"/>
      <c r="I82" s="101"/>
      <c r="J82" s="101"/>
      <c r="K82" s="101"/>
      <c r="L82" s="101"/>
      <c r="M82" s="101"/>
    </row>
    <row r="83" spans="3:13" x14ac:dyDescent="0.2">
      <c r="D83" s="101"/>
      <c r="E83" s="118"/>
      <c r="F83" s="101"/>
      <c r="G83" s="101"/>
      <c r="H83" s="101"/>
      <c r="I83" s="101"/>
      <c r="J83" s="101"/>
      <c r="K83" s="101"/>
      <c r="L83" s="101"/>
      <c r="M83" s="101"/>
    </row>
    <row r="84" spans="3:13" x14ac:dyDescent="0.2">
      <c r="D84" s="101"/>
      <c r="E84" s="118"/>
      <c r="F84" s="101"/>
      <c r="G84" s="101"/>
      <c r="H84" s="101"/>
      <c r="I84" s="101"/>
      <c r="J84" s="101"/>
      <c r="K84" s="101"/>
      <c r="L84" s="101"/>
      <c r="M84" s="101"/>
    </row>
    <row r="85" spans="3:13" x14ac:dyDescent="0.2">
      <c r="D85" s="101"/>
      <c r="E85" s="118"/>
      <c r="F85" s="101"/>
      <c r="G85" s="101"/>
      <c r="H85" s="101"/>
      <c r="I85" s="101"/>
      <c r="J85" s="101"/>
      <c r="K85" s="101"/>
      <c r="L85" s="101"/>
      <c r="M85" s="101"/>
    </row>
    <row r="86" spans="3:13" x14ac:dyDescent="0.2">
      <c r="D86" s="101"/>
      <c r="E86" s="118"/>
      <c r="F86" s="101"/>
      <c r="G86" s="101"/>
      <c r="H86" s="101"/>
      <c r="I86" s="101"/>
      <c r="J86" s="101"/>
      <c r="K86" s="101"/>
      <c r="L86" s="101"/>
      <c r="M86" s="101"/>
    </row>
    <row r="87" spans="3:13" x14ac:dyDescent="0.2">
      <c r="D87" s="101"/>
      <c r="E87" s="118"/>
      <c r="F87" s="101"/>
      <c r="G87" s="101"/>
      <c r="H87" s="101"/>
      <c r="I87" s="101"/>
      <c r="J87" s="101"/>
      <c r="K87" s="101"/>
      <c r="L87" s="101"/>
      <c r="M87" s="101"/>
    </row>
    <row r="88" spans="3:13" x14ac:dyDescent="0.2">
      <c r="D88" s="101"/>
      <c r="E88" s="118"/>
      <c r="F88" s="101"/>
      <c r="G88" s="101"/>
      <c r="H88" s="101"/>
      <c r="I88" s="101"/>
      <c r="J88" s="101"/>
      <c r="K88" s="101"/>
      <c r="L88" s="101"/>
      <c r="M88" s="101"/>
    </row>
    <row r="89" spans="3:13" x14ac:dyDescent="0.2">
      <c r="D89" s="101"/>
      <c r="E89" s="118"/>
      <c r="F89" s="101"/>
      <c r="G89" s="101"/>
      <c r="H89" s="101"/>
      <c r="I89" s="101"/>
      <c r="J89" s="101"/>
      <c r="K89" s="101"/>
      <c r="L89" s="101"/>
      <c r="M89" s="101"/>
    </row>
    <row r="90" spans="3:13" x14ac:dyDescent="0.2">
      <c r="D90" s="101"/>
      <c r="E90" s="118"/>
      <c r="F90" s="101"/>
      <c r="G90" s="101"/>
      <c r="H90" s="101"/>
      <c r="I90" s="101"/>
      <c r="J90" s="101"/>
      <c r="K90" s="101"/>
      <c r="L90" s="101"/>
      <c r="M90" s="101"/>
    </row>
    <row r="91" spans="3:13" x14ac:dyDescent="0.2">
      <c r="D91" s="101"/>
      <c r="E91" s="118"/>
      <c r="F91" s="101"/>
      <c r="G91" s="101"/>
      <c r="H91" s="101"/>
      <c r="I91" s="101"/>
      <c r="J91" s="101"/>
      <c r="K91" s="101"/>
      <c r="L91" s="101"/>
      <c r="M91" s="101"/>
    </row>
    <row r="92" spans="3:13" x14ac:dyDescent="0.2">
      <c r="D92" s="101"/>
      <c r="E92" s="118"/>
      <c r="F92" s="101"/>
      <c r="G92" s="101"/>
      <c r="H92" s="101"/>
      <c r="I92" s="101"/>
      <c r="J92" s="101"/>
      <c r="K92" s="101"/>
      <c r="L92" s="101"/>
      <c r="M92" s="101"/>
    </row>
    <row r="93" spans="3:13" x14ac:dyDescent="0.2">
      <c r="D93" s="101"/>
      <c r="E93" s="118"/>
      <c r="F93" s="101"/>
      <c r="G93" s="101"/>
      <c r="H93" s="101"/>
      <c r="I93" s="101"/>
      <c r="J93" s="101"/>
      <c r="K93" s="101"/>
      <c r="L93" s="101"/>
      <c r="M93" s="101"/>
    </row>
    <row r="94" spans="3:13" x14ac:dyDescent="0.2">
      <c r="D94" s="101"/>
      <c r="E94" s="118"/>
      <c r="F94" s="101"/>
      <c r="G94" s="101"/>
      <c r="H94" s="101"/>
      <c r="I94" s="101"/>
      <c r="J94" s="101"/>
      <c r="K94" s="101"/>
      <c r="L94" s="101"/>
      <c r="M94" s="101"/>
    </row>
    <row r="95" spans="3:13" x14ac:dyDescent="0.2">
      <c r="D95" s="101"/>
      <c r="E95" s="118"/>
      <c r="F95" s="101"/>
      <c r="G95" s="101"/>
      <c r="H95" s="101"/>
      <c r="I95" s="101"/>
      <c r="J95" s="101"/>
      <c r="K95" s="101"/>
      <c r="L95" s="101"/>
      <c r="M95" s="101"/>
    </row>
    <row r="96" spans="3:13" x14ac:dyDescent="0.2">
      <c r="D96" s="101"/>
      <c r="E96" s="118"/>
      <c r="F96" s="101"/>
      <c r="G96" s="101"/>
      <c r="H96" s="101"/>
      <c r="I96" s="101"/>
      <c r="J96" s="101"/>
      <c r="K96" s="101"/>
      <c r="L96" s="101"/>
      <c r="M96" s="101"/>
    </row>
    <row r="97" spans="4:13" x14ac:dyDescent="0.2">
      <c r="D97" s="101"/>
      <c r="E97" s="118"/>
      <c r="F97" s="101"/>
      <c r="G97" s="101"/>
      <c r="H97" s="101"/>
      <c r="I97" s="101"/>
      <c r="J97" s="101"/>
      <c r="K97" s="101"/>
      <c r="L97" s="101"/>
      <c r="M97" s="101"/>
    </row>
    <row r="98" spans="4:13" x14ac:dyDescent="0.2">
      <c r="D98" s="101"/>
      <c r="E98" s="118"/>
      <c r="F98" s="101"/>
      <c r="G98" s="101"/>
      <c r="H98" s="101"/>
      <c r="I98" s="101"/>
      <c r="J98" s="101"/>
      <c r="K98" s="101"/>
      <c r="L98" s="101"/>
      <c r="M98" s="101"/>
    </row>
    <row r="99" spans="4:13" x14ac:dyDescent="0.2">
      <c r="D99" s="101"/>
      <c r="E99" s="118"/>
      <c r="F99" s="101"/>
      <c r="G99" s="101"/>
      <c r="H99" s="101"/>
      <c r="I99" s="101"/>
      <c r="J99" s="101"/>
      <c r="K99" s="101"/>
      <c r="L99" s="101"/>
      <c r="M99" s="101"/>
    </row>
    <row r="100" spans="4:13" x14ac:dyDescent="0.2">
      <c r="D100" s="101"/>
      <c r="E100" s="118"/>
      <c r="F100" s="101"/>
      <c r="G100" s="101"/>
      <c r="H100" s="101"/>
      <c r="I100" s="101"/>
      <c r="J100" s="101"/>
      <c r="K100" s="101"/>
      <c r="L100" s="101"/>
      <c r="M100" s="101"/>
    </row>
    <row r="101" spans="4:13" x14ac:dyDescent="0.2">
      <c r="D101" s="101"/>
      <c r="E101" s="118"/>
      <c r="F101" s="101"/>
      <c r="G101" s="101"/>
      <c r="H101" s="101"/>
      <c r="I101" s="101"/>
      <c r="J101" s="101"/>
      <c r="K101" s="101"/>
      <c r="L101" s="101"/>
      <c r="M101" s="101"/>
    </row>
    <row r="102" spans="4:13" x14ac:dyDescent="0.2">
      <c r="D102" s="101"/>
      <c r="E102" s="118"/>
      <c r="F102" s="101"/>
      <c r="G102" s="101"/>
      <c r="H102" s="101"/>
      <c r="I102" s="101"/>
      <c r="J102" s="101"/>
      <c r="K102" s="101"/>
      <c r="L102" s="101"/>
      <c r="M102" s="101"/>
    </row>
    <row r="103" spans="4:13" x14ac:dyDescent="0.2">
      <c r="D103" s="101"/>
      <c r="E103" s="118"/>
      <c r="F103" s="101"/>
      <c r="G103" s="101"/>
      <c r="H103" s="101"/>
      <c r="I103" s="101"/>
      <c r="J103" s="101"/>
      <c r="K103" s="101"/>
      <c r="L103" s="101"/>
      <c r="M103" s="101"/>
    </row>
    <row r="104" spans="4:13" x14ac:dyDescent="0.2">
      <c r="D104" s="101"/>
      <c r="E104" s="118"/>
      <c r="F104" s="101"/>
      <c r="G104" s="101"/>
      <c r="H104" s="101"/>
      <c r="I104" s="101"/>
      <c r="J104" s="101"/>
      <c r="K104" s="101"/>
      <c r="L104" s="101"/>
      <c r="M104" s="101"/>
    </row>
    <row r="105" spans="4:13" x14ac:dyDescent="0.2">
      <c r="D105" s="101"/>
      <c r="E105" s="118"/>
      <c r="F105" s="101"/>
      <c r="G105" s="101"/>
      <c r="H105" s="101"/>
      <c r="I105" s="101"/>
      <c r="J105" s="101"/>
      <c r="K105" s="101"/>
      <c r="L105" s="101"/>
      <c r="M105" s="101"/>
    </row>
    <row r="106" spans="4:13" x14ac:dyDescent="0.2">
      <c r="D106" s="101"/>
      <c r="E106" s="118"/>
      <c r="F106" s="101"/>
      <c r="G106" s="101"/>
      <c r="H106" s="101"/>
      <c r="I106" s="101"/>
      <c r="J106" s="101"/>
      <c r="K106" s="101"/>
      <c r="L106" s="101"/>
      <c r="M106" s="101"/>
    </row>
    <row r="107" spans="4:13" x14ac:dyDescent="0.2">
      <c r="D107" s="101"/>
      <c r="E107" s="118"/>
      <c r="F107" s="101"/>
      <c r="G107" s="101"/>
      <c r="H107" s="101"/>
      <c r="I107" s="101"/>
      <c r="J107" s="101"/>
      <c r="K107" s="101"/>
      <c r="L107" s="101"/>
      <c r="M107" s="101"/>
    </row>
    <row r="108" spans="4:13" x14ac:dyDescent="0.2">
      <c r="D108" s="101"/>
      <c r="E108" s="118"/>
      <c r="F108" s="101"/>
      <c r="G108" s="101"/>
      <c r="H108" s="101"/>
      <c r="I108" s="101"/>
      <c r="J108" s="101"/>
      <c r="K108" s="101"/>
      <c r="L108" s="101"/>
      <c r="M108" s="101"/>
    </row>
    <row r="109" spans="4:13" x14ac:dyDescent="0.2">
      <c r="D109" s="101"/>
      <c r="E109" s="118"/>
      <c r="F109" s="101"/>
      <c r="G109" s="101"/>
      <c r="H109" s="101"/>
      <c r="I109" s="101"/>
      <c r="J109" s="101"/>
      <c r="K109" s="101"/>
      <c r="L109" s="101"/>
      <c r="M109" s="101"/>
    </row>
    <row r="110" spans="4:13" x14ac:dyDescent="0.2">
      <c r="D110" s="101"/>
      <c r="E110" s="118"/>
      <c r="F110" s="101"/>
      <c r="G110" s="101"/>
      <c r="H110" s="101"/>
      <c r="I110" s="101"/>
      <c r="J110" s="101"/>
      <c r="K110" s="101"/>
      <c r="L110" s="101"/>
      <c r="M110" s="101"/>
    </row>
    <row r="111" spans="4:13" x14ac:dyDescent="0.2">
      <c r="D111" s="101"/>
      <c r="E111" s="118"/>
      <c r="F111" s="101"/>
      <c r="G111" s="101"/>
      <c r="H111" s="101"/>
      <c r="I111" s="101"/>
      <c r="J111" s="101"/>
      <c r="K111" s="101"/>
      <c r="L111" s="101"/>
      <c r="M111" s="101"/>
    </row>
    <row r="112" spans="4:13" x14ac:dyDescent="0.2">
      <c r="D112" s="101"/>
      <c r="E112" s="118"/>
      <c r="F112" s="101"/>
      <c r="G112" s="101"/>
      <c r="H112" s="101"/>
      <c r="I112" s="101"/>
      <c r="J112" s="101"/>
      <c r="K112" s="101"/>
      <c r="L112" s="101"/>
      <c r="M112" s="101"/>
    </row>
    <row r="113" spans="4:13" x14ac:dyDescent="0.2">
      <c r="D113" s="101"/>
      <c r="E113" s="118"/>
      <c r="F113" s="101"/>
      <c r="G113" s="101"/>
      <c r="H113" s="101"/>
      <c r="I113" s="101"/>
      <c r="J113" s="101"/>
      <c r="K113" s="101"/>
      <c r="L113" s="101"/>
      <c r="M113" s="101"/>
    </row>
    <row r="114" spans="4:13" x14ac:dyDescent="0.2">
      <c r="D114" s="101"/>
      <c r="E114" s="118"/>
      <c r="F114" s="101"/>
      <c r="G114" s="101"/>
      <c r="H114" s="101"/>
      <c r="I114" s="101"/>
      <c r="J114" s="101"/>
      <c r="K114" s="101"/>
      <c r="L114" s="101"/>
      <c r="M114" s="101"/>
    </row>
    <row r="115" spans="4:13" x14ac:dyDescent="0.2">
      <c r="D115" s="101"/>
      <c r="E115" s="118"/>
      <c r="F115" s="101"/>
      <c r="G115" s="101"/>
      <c r="H115" s="101"/>
      <c r="I115" s="101"/>
      <c r="J115" s="101"/>
      <c r="K115" s="101"/>
      <c r="L115" s="101"/>
      <c r="M115" s="101"/>
    </row>
    <row r="116" spans="4:13" x14ac:dyDescent="0.2">
      <c r="D116" s="101"/>
      <c r="E116" s="118"/>
      <c r="F116" s="101"/>
      <c r="G116" s="101"/>
      <c r="H116" s="101"/>
      <c r="I116" s="101"/>
      <c r="J116" s="101"/>
      <c r="K116" s="101"/>
      <c r="L116" s="101"/>
      <c r="M116" s="101"/>
    </row>
    <row r="117" spans="4:13" x14ac:dyDescent="0.2">
      <c r="D117" s="101"/>
      <c r="E117" s="118"/>
      <c r="F117" s="101"/>
      <c r="G117" s="101"/>
      <c r="H117" s="101"/>
      <c r="I117" s="101"/>
      <c r="J117" s="101"/>
      <c r="K117" s="101"/>
      <c r="L117" s="101"/>
      <c r="M117" s="101"/>
    </row>
    <row r="118" spans="4:13" x14ac:dyDescent="0.2">
      <c r="D118" s="101"/>
      <c r="E118" s="118"/>
      <c r="F118" s="101"/>
      <c r="G118" s="101"/>
      <c r="H118" s="101"/>
      <c r="I118" s="101"/>
      <c r="J118" s="101"/>
      <c r="K118" s="101"/>
      <c r="L118" s="101"/>
      <c r="M118" s="101"/>
    </row>
    <row r="119" spans="4:13" x14ac:dyDescent="0.2">
      <c r="D119" s="101"/>
      <c r="E119" s="118"/>
      <c r="F119" s="101"/>
      <c r="G119" s="101"/>
      <c r="H119" s="101"/>
      <c r="I119" s="101"/>
      <c r="J119" s="101"/>
      <c r="K119" s="101"/>
      <c r="L119" s="101"/>
      <c r="M119" s="101"/>
    </row>
    <row r="120" spans="4:13" x14ac:dyDescent="0.2">
      <c r="D120" s="101"/>
      <c r="E120" s="118"/>
      <c r="F120" s="101"/>
      <c r="G120" s="101"/>
      <c r="H120" s="101"/>
      <c r="I120" s="101"/>
      <c r="J120" s="101"/>
      <c r="K120" s="101"/>
      <c r="L120" s="101"/>
      <c r="M120" s="101"/>
    </row>
    <row r="121" spans="4:13" x14ac:dyDescent="0.2">
      <c r="D121" s="101"/>
      <c r="E121" s="118"/>
      <c r="F121" s="101"/>
      <c r="G121" s="101"/>
      <c r="H121" s="101"/>
      <c r="I121" s="101"/>
      <c r="J121" s="101"/>
      <c r="K121" s="101"/>
      <c r="L121" s="101"/>
      <c r="M121" s="101"/>
    </row>
    <row r="122" spans="4:13" x14ac:dyDescent="0.2">
      <c r="D122" s="101"/>
      <c r="E122" s="118"/>
      <c r="F122" s="101"/>
      <c r="G122" s="101"/>
      <c r="H122" s="101"/>
      <c r="I122" s="101"/>
      <c r="J122" s="101"/>
      <c r="K122" s="101"/>
      <c r="L122" s="101"/>
      <c r="M122" s="101"/>
    </row>
    <row r="123" spans="4:13" x14ac:dyDescent="0.2">
      <c r="D123" s="101"/>
      <c r="E123" s="118"/>
      <c r="F123" s="101"/>
      <c r="G123" s="101"/>
      <c r="H123" s="101"/>
      <c r="I123" s="101"/>
      <c r="J123" s="101"/>
      <c r="K123" s="101"/>
      <c r="L123" s="101"/>
      <c r="M123" s="101"/>
    </row>
    <row r="124" spans="4:13" x14ac:dyDescent="0.2">
      <c r="D124" s="101"/>
      <c r="E124" s="118"/>
      <c r="F124" s="101"/>
      <c r="G124" s="101"/>
      <c r="H124" s="101"/>
      <c r="I124" s="101"/>
      <c r="J124" s="101"/>
      <c r="K124" s="101"/>
      <c r="L124" s="101"/>
      <c r="M124" s="101"/>
    </row>
    <row r="125" spans="4:13" x14ac:dyDescent="0.2">
      <c r="D125" s="101"/>
      <c r="E125" s="118"/>
      <c r="F125" s="101"/>
      <c r="G125" s="101"/>
      <c r="H125" s="101"/>
      <c r="I125" s="101"/>
      <c r="J125" s="101"/>
      <c r="K125" s="101"/>
      <c r="L125" s="101"/>
      <c r="M125" s="101"/>
    </row>
    <row r="126" spans="4:13" x14ac:dyDescent="0.2">
      <c r="D126" s="101"/>
      <c r="E126" s="118"/>
      <c r="F126" s="101"/>
      <c r="G126" s="101"/>
      <c r="H126" s="101"/>
      <c r="I126" s="101"/>
      <c r="J126" s="101"/>
      <c r="K126" s="101"/>
      <c r="L126" s="101"/>
      <c r="M126" s="101"/>
    </row>
    <row r="127" spans="4:13" x14ac:dyDescent="0.2">
      <c r="D127" s="101"/>
      <c r="E127" s="118"/>
      <c r="F127" s="101"/>
      <c r="G127" s="101"/>
      <c r="H127" s="101"/>
      <c r="I127" s="101"/>
      <c r="J127" s="101"/>
      <c r="K127" s="101"/>
      <c r="L127" s="101"/>
      <c r="M127" s="101"/>
    </row>
    <row r="128" spans="4:13" x14ac:dyDescent="0.2">
      <c r="D128" s="101"/>
      <c r="E128" s="118"/>
      <c r="F128" s="101"/>
      <c r="G128" s="101"/>
      <c r="H128" s="101"/>
      <c r="I128" s="101"/>
      <c r="J128" s="101"/>
      <c r="K128" s="101"/>
      <c r="L128" s="101"/>
      <c r="M128" s="101"/>
    </row>
    <row r="129" spans="4:13" x14ac:dyDescent="0.2">
      <c r="D129" s="101"/>
      <c r="E129" s="118"/>
      <c r="F129" s="101"/>
      <c r="G129" s="101"/>
      <c r="H129" s="101"/>
      <c r="I129" s="101"/>
      <c r="J129" s="101"/>
      <c r="K129" s="101"/>
      <c r="L129" s="101"/>
      <c r="M129" s="101"/>
    </row>
    <row r="130" spans="4:13" x14ac:dyDescent="0.2">
      <c r="D130" s="101"/>
      <c r="E130" s="118"/>
      <c r="F130" s="101"/>
      <c r="G130" s="101"/>
      <c r="H130" s="101"/>
      <c r="I130" s="101"/>
      <c r="J130" s="101"/>
      <c r="K130" s="101"/>
      <c r="L130" s="101"/>
      <c r="M130" s="101"/>
    </row>
    <row r="131" spans="4:13" x14ac:dyDescent="0.2">
      <c r="D131" s="101"/>
      <c r="E131" s="118"/>
      <c r="F131" s="101"/>
      <c r="G131" s="101"/>
      <c r="H131" s="101"/>
      <c r="I131" s="101"/>
      <c r="J131" s="101"/>
      <c r="K131" s="101"/>
      <c r="L131" s="101"/>
      <c r="M131" s="101"/>
    </row>
    <row r="132" spans="4:13" x14ac:dyDescent="0.2">
      <c r="D132" s="101"/>
      <c r="E132" s="118"/>
      <c r="F132" s="101"/>
      <c r="G132" s="101"/>
      <c r="H132" s="101"/>
      <c r="I132" s="101"/>
      <c r="J132" s="101"/>
      <c r="K132" s="101"/>
      <c r="L132" s="101"/>
      <c r="M132" s="101"/>
    </row>
    <row r="133" spans="4:13" x14ac:dyDescent="0.2">
      <c r="D133" s="101"/>
      <c r="E133" s="118"/>
      <c r="F133" s="101"/>
      <c r="G133" s="101"/>
      <c r="H133" s="101"/>
      <c r="I133" s="101"/>
      <c r="J133" s="101"/>
      <c r="K133" s="101"/>
      <c r="L133" s="101"/>
      <c r="M133" s="101"/>
    </row>
    <row r="134" spans="4:13" x14ac:dyDescent="0.2">
      <c r="D134" s="101"/>
      <c r="E134" s="118"/>
      <c r="F134" s="101"/>
      <c r="G134" s="101"/>
      <c r="H134" s="101"/>
      <c r="I134" s="101"/>
      <c r="J134" s="101"/>
      <c r="K134" s="101"/>
      <c r="L134" s="101"/>
      <c r="M134" s="101"/>
    </row>
    <row r="135" spans="4:13" x14ac:dyDescent="0.2">
      <c r="D135" s="101"/>
      <c r="E135" s="118"/>
      <c r="F135" s="101"/>
      <c r="G135" s="101"/>
      <c r="H135" s="101"/>
      <c r="I135" s="101"/>
      <c r="J135" s="101"/>
      <c r="K135" s="101"/>
      <c r="L135" s="101"/>
      <c r="M135" s="101"/>
    </row>
    <row r="136" spans="4:13" x14ac:dyDescent="0.2">
      <c r="D136" s="101"/>
      <c r="E136" s="118"/>
      <c r="F136" s="101"/>
      <c r="G136" s="101"/>
      <c r="H136" s="101"/>
      <c r="I136" s="101"/>
      <c r="J136" s="101"/>
      <c r="K136" s="101"/>
      <c r="L136" s="101"/>
      <c r="M136" s="101"/>
    </row>
    <row r="137" spans="4:13" x14ac:dyDescent="0.2">
      <c r="D137" s="101"/>
      <c r="E137" s="118"/>
      <c r="F137" s="101"/>
      <c r="G137" s="101"/>
      <c r="H137" s="101"/>
      <c r="I137" s="101"/>
      <c r="J137" s="101"/>
      <c r="K137" s="101"/>
      <c r="L137" s="101"/>
      <c r="M137" s="101"/>
    </row>
    <row r="138" spans="4:13" x14ac:dyDescent="0.2">
      <c r="D138" s="101"/>
      <c r="E138" s="118"/>
      <c r="F138" s="101"/>
      <c r="G138" s="101"/>
      <c r="H138" s="101"/>
      <c r="I138" s="101"/>
      <c r="J138" s="101"/>
      <c r="K138" s="101"/>
      <c r="L138" s="101"/>
      <c r="M138" s="101"/>
    </row>
    <row r="139" spans="4:13" x14ac:dyDescent="0.2">
      <c r="D139" s="101"/>
      <c r="E139" s="118"/>
      <c r="F139" s="101"/>
      <c r="G139" s="101"/>
      <c r="H139" s="101"/>
      <c r="I139" s="101"/>
      <c r="J139" s="101"/>
      <c r="K139" s="101"/>
      <c r="L139" s="101"/>
      <c r="M139" s="101"/>
    </row>
    <row r="140" spans="4:13" x14ac:dyDescent="0.2">
      <c r="D140" s="101"/>
      <c r="E140" s="118"/>
      <c r="F140" s="101"/>
      <c r="G140" s="101"/>
      <c r="H140" s="101"/>
      <c r="I140" s="101"/>
      <c r="J140" s="101"/>
      <c r="K140" s="101"/>
      <c r="L140" s="101"/>
      <c r="M140" s="101"/>
    </row>
    <row r="141" spans="4:13" x14ac:dyDescent="0.2">
      <c r="D141" s="101"/>
      <c r="E141" s="118"/>
      <c r="F141" s="101"/>
      <c r="G141" s="101"/>
      <c r="H141" s="101"/>
      <c r="I141" s="101"/>
      <c r="J141" s="101"/>
      <c r="K141" s="101"/>
      <c r="L141" s="101"/>
      <c r="M141" s="101"/>
    </row>
    <row r="142" spans="4:13" x14ac:dyDescent="0.2">
      <c r="D142" s="101"/>
      <c r="E142" s="118"/>
      <c r="F142" s="101"/>
      <c r="G142" s="101"/>
      <c r="H142" s="101"/>
      <c r="I142" s="101"/>
      <c r="J142" s="101"/>
      <c r="K142" s="101"/>
      <c r="L142" s="101"/>
      <c r="M142" s="101"/>
    </row>
    <row r="143" spans="4:13" x14ac:dyDescent="0.2">
      <c r="D143" s="101"/>
      <c r="E143" s="118"/>
      <c r="F143" s="101"/>
      <c r="G143" s="101"/>
      <c r="H143" s="101"/>
      <c r="I143" s="101"/>
      <c r="J143" s="101"/>
      <c r="K143" s="101"/>
      <c r="L143" s="101"/>
      <c r="M143" s="101"/>
    </row>
    <row r="144" spans="4:13" x14ac:dyDescent="0.2">
      <c r="D144" s="101"/>
      <c r="E144" s="118"/>
      <c r="F144" s="101"/>
      <c r="G144" s="101"/>
      <c r="H144" s="101"/>
      <c r="I144" s="101"/>
      <c r="J144" s="101"/>
      <c r="K144" s="101"/>
      <c r="L144" s="101"/>
      <c r="M144" s="101"/>
    </row>
    <row r="145" spans="4:13" x14ac:dyDescent="0.2">
      <c r="D145" s="101"/>
      <c r="E145" s="118"/>
      <c r="F145" s="101"/>
      <c r="G145" s="101"/>
      <c r="H145" s="101"/>
      <c r="I145" s="101"/>
      <c r="J145" s="101"/>
      <c r="K145" s="101"/>
      <c r="L145" s="101"/>
      <c r="M145" s="101"/>
    </row>
    <row r="146" spans="4:13" x14ac:dyDescent="0.2">
      <c r="D146" s="101"/>
      <c r="E146" s="118"/>
      <c r="F146" s="101"/>
      <c r="G146" s="101"/>
      <c r="H146" s="101"/>
      <c r="I146" s="101"/>
      <c r="J146" s="101"/>
      <c r="K146" s="101"/>
      <c r="L146" s="101"/>
      <c r="M146" s="101"/>
    </row>
    <row r="147" spans="4:13" x14ac:dyDescent="0.2">
      <c r="D147" s="101"/>
      <c r="E147" s="118"/>
      <c r="F147" s="101"/>
      <c r="G147" s="101"/>
      <c r="H147" s="101"/>
      <c r="I147" s="101"/>
      <c r="J147" s="101"/>
      <c r="K147" s="101"/>
      <c r="L147" s="101"/>
      <c r="M147" s="101"/>
    </row>
    <row r="148" spans="4:13" x14ac:dyDescent="0.2">
      <c r="D148" s="101"/>
      <c r="E148" s="118"/>
      <c r="F148" s="101"/>
      <c r="G148" s="101"/>
      <c r="H148" s="101"/>
      <c r="I148" s="101"/>
      <c r="J148" s="101"/>
      <c r="K148" s="101"/>
      <c r="L148" s="101"/>
      <c r="M148" s="101"/>
    </row>
    <row r="149" spans="4:13" x14ac:dyDescent="0.2">
      <c r="D149" s="101"/>
      <c r="E149" s="118"/>
      <c r="F149" s="101"/>
      <c r="G149" s="101"/>
      <c r="H149" s="101"/>
      <c r="I149" s="101"/>
      <c r="J149" s="101"/>
      <c r="K149" s="101"/>
      <c r="L149" s="101"/>
      <c r="M149" s="101"/>
    </row>
    <row r="150" spans="4:13" x14ac:dyDescent="0.2">
      <c r="D150" s="101"/>
      <c r="E150" s="118"/>
      <c r="F150" s="101"/>
      <c r="G150" s="101"/>
      <c r="H150" s="101"/>
      <c r="I150" s="101"/>
      <c r="J150" s="101"/>
      <c r="K150" s="101"/>
      <c r="L150" s="101"/>
      <c r="M150" s="101"/>
    </row>
    <row r="151" spans="4:13" x14ac:dyDescent="0.2">
      <c r="D151" s="101"/>
      <c r="E151" s="118"/>
      <c r="F151" s="101"/>
      <c r="G151" s="101"/>
      <c r="H151" s="101"/>
      <c r="I151" s="101"/>
      <c r="J151" s="101"/>
      <c r="K151" s="101"/>
      <c r="L151" s="101"/>
      <c r="M151" s="101"/>
    </row>
    <row r="152" spans="4:13" x14ac:dyDescent="0.2">
      <c r="D152" s="101"/>
      <c r="E152" s="118"/>
      <c r="F152" s="101"/>
      <c r="G152" s="101"/>
      <c r="H152" s="101"/>
      <c r="I152" s="101"/>
      <c r="J152" s="101"/>
      <c r="K152" s="101"/>
      <c r="L152" s="101"/>
      <c r="M152" s="101"/>
    </row>
    <row r="153" spans="4:13" x14ac:dyDescent="0.2">
      <c r="D153" s="101"/>
      <c r="E153" s="118"/>
      <c r="F153" s="101"/>
      <c r="G153" s="101"/>
      <c r="H153" s="101"/>
      <c r="I153" s="101"/>
      <c r="J153" s="101"/>
      <c r="K153" s="101"/>
      <c r="L153" s="101"/>
      <c r="M153" s="101"/>
    </row>
    <row r="154" spans="4:13" x14ac:dyDescent="0.2">
      <c r="D154" s="101"/>
      <c r="E154" s="118"/>
      <c r="F154" s="101"/>
      <c r="G154" s="101"/>
      <c r="H154" s="101"/>
      <c r="I154" s="101"/>
      <c r="J154" s="101"/>
      <c r="K154" s="101"/>
      <c r="L154" s="101"/>
      <c r="M154" s="101"/>
    </row>
    <row r="155" spans="4:13" x14ac:dyDescent="0.2">
      <c r="D155" s="101"/>
      <c r="E155" s="118"/>
      <c r="F155" s="101"/>
      <c r="G155" s="101"/>
      <c r="H155" s="101"/>
      <c r="I155" s="101"/>
      <c r="J155" s="101"/>
      <c r="K155" s="101"/>
      <c r="L155" s="101"/>
      <c r="M155" s="101"/>
    </row>
    <row r="156" spans="4:13" x14ac:dyDescent="0.2">
      <c r="D156" s="101"/>
      <c r="E156" s="118"/>
      <c r="F156" s="101"/>
      <c r="G156" s="101"/>
      <c r="H156" s="101"/>
      <c r="I156" s="101"/>
      <c r="J156" s="101"/>
      <c r="K156" s="101"/>
      <c r="L156" s="101"/>
      <c r="M156" s="101"/>
    </row>
    <row r="157" spans="4:13" x14ac:dyDescent="0.2">
      <c r="D157" s="101"/>
      <c r="E157" s="118"/>
      <c r="F157" s="101"/>
      <c r="G157" s="101"/>
      <c r="H157" s="101"/>
      <c r="I157" s="101"/>
      <c r="J157" s="101"/>
      <c r="K157" s="101"/>
      <c r="L157" s="101"/>
      <c r="M157" s="101"/>
    </row>
    <row r="158" spans="4:13" x14ac:dyDescent="0.2">
      <c r="D158" s="101"/>
      <c r="E158" s="118"/>
      <c r="F158" s="101"/>
      <c r="G158" s="101"/>
      <c r="H158" s="101"/>
      <c r="I158" s="101"/>
      <c r="J158" s="101"/>
      <c r="K158" s="101"/>
      <c r="L158" s="101"/>
      <c r="M158" s="101"/>
    </row>
    <row r="159" spans="4:13" x14ac:dyDescent="0.2">
      <c r="D159" s="101"/>
      <c r="E159" s="118"/>
      <c r="F159" s="101"/>
      <c r="G159" s="101"/>
      <c r="H159" s="101"/>
      <c r="I159" s="101"/>
      <c r="J159" s="101"/>
      <c r="K159" s="101"/>
      <c r="L159" s="101"/>
      <c r="M159" s="101"/>
    </row>
    <row r="160" spans="4:13" x14ac:dyDescent="0.2">
      <c r="D160" s="101"/>
      <c r="E160" s="118"/>
      <c r="F160" s="101"/>
      <c r="G160" s="101"/>
      <c r="H160" s="101"/>
      <c r="I160" s="101"/>
      <c r="J160" s="101"/>
      <c r="K160" s="101"/>
      <c r="L160" s="101"/>
      <c r="M160" s="101"/>
    </row>
    <row r="161" spans="4:13" x14ac:dyDescent="0.2">
      <c r="D161" s="101"/>
      <c r="E161" s="118"/>
      <c r="F161" s="101"/>
      <c r="G161" s="101"/>
      <c r="H161" s="101"/>
      <c r="I161" s="101"/>
      <c r="J161" s="101"/>
      <c r="K161" s="101"/>
      <c r="L161" s="101"/>
      <c r="M161" s="101"/>
    </row>
    <row r="162" spans="4:13" x14ac:dyDescent="0.2">
      <c r="D162" s="101"/>
      <c r="E162" s="118"/>
      <c r="F162" s="101"/>
      <c r="G162" s="101"/>
      <c r="H162" s="101"/>
      <c r="I162" s="101"/>
      <c r="J162" s="101"/>
      <c r="K162" s="101"/>
      <c r="L162" s="101"/>
      <c r="M162" s="101"/>
    </row>
    <row r="163" spans="4:13" x14ac:dyDescent="0.2">
      <c r="D163" s="101"/>
      <c r="E163" s="118"/>
      <c r="F163" s="101"/>
      <c r="G163" s="101"/>
      <c r="H163" s="101"/>
      <c r="I163" s="101"/>
      <c r="J163" s="101"/>
      <c r="K163" s="101"/>
      <c r="L163" s="101"/>
      <c r="M163" s="101"/>
    </row>
    <row r="164" spans="4:13" x14ac:dyDescent="0.2">
      <c r="D164" s="101"/>
      <c r="E164" s="118"/>
      <c r="F164" s="101"/>
      <c r="G164" s="101"/>
      <c r="H164" s="101"/>
      <c r="I164" s="101"/>
      <c r="J164" s="101"/>
      <c r="K164" s="101"/>
      <c r="L164" s="101"/>
      <c r="M164" s="101"/>
    </row>
    <row r="165" spans="4:13" x14ac:dyDescent="0.2">
      <c r="D165" s="101"/>
      <c r="E165" s="118"/>
      <c r="F165" s="101"/>
      <c r="G165" s="101"/>
      <c r="H165" s="101"/>
      <c r="I165" s="101"/>
      <c r="J165" s="101"/>
      <c r="K165" s="101"/>
      <c r="L165" s="101"/>
      <c r="M165" s="101"/>
    </row>
    <row r="166" spans="4:13" x14ac:dyDescent="0.2">
      <c r="D166" s="101"/>
      <c r="E166" s="118"/>
      <c r="F166" s="101"/>
      <c r="G166" s="101"/>
      <c r="H166" s="101"/>
      <c r="I166" s="101"/>
      <c r="J166" s="101"/>
      <c r="K166" s="101"/>
      <c r="L166" s="101"/>
      <c r="M166" s="101"/>
    </row>
    <row r="167" spans="4:13" x14ac:dyDescent="0.2">
      <c r="D167" s="101"/>
      <c r="E167" s="118"/>
      <c r="F167" s="101"/>
      <c r="G167" s="101"/>
      <c r="H167" s="101"/>
      <c r="I167" s="101"/>
      <c r="J167" s="101"/>
      <c r="K167" s="101"/>
      <c r="L167" s="101"/>
      <c r="M167" s="101"/>
    </row>
    <row r="168" spans="4:13" x14ac:dyDescent="0.2">
      <c r="D168" s="101"/>
      <c r="E168" s="118"/>
      <c r="F168" s="101"/>
      <c r="G168" s="101"/>
      <c r="H168" s="101"/>
      <c r="I168" s="101"/>
      <c r="J168" s="101"/>
      <c r="K168" s="101"/>
      <c r="L168" s="101"/>
      <c r="M168" s="101"/>
    </row>
    <row r="169" spans="4:13" x14ac:dyDescent="0.2">
      <c r="D169" s="101"/>
      <c r="E169" s="118"/>
      <c r="F169" s="101"/>
      <c r="G169" s="101"/>
      <c r="H169" s="101"/>
      <c r="I169" s="101"/>
      <c r="J169" s="101"/>
      <c r="K169" s="101"/>
      <c r="L169" s="101"/>
      <c r="M169" s="101"/>
    </row>
    <row r="170" spans="4:13" x14ac:dyDescent="0.2">
      <c r="D170" s="101"/>
      <c r="E170" s="118"/>
      <c r="F170" s="101"/>
      <c r="G170" s="101"/>
      <c r="H170" s="101"/>
      <c r="I170" s="101"/>
      <c r="J170" s="101"/>
      <c r="K170" s="101"/>
      <c r="L170" s="101"/>
      <c r="M170" s="101"/>
    </row>
    <row r="171" spans="4:13" x14ac:dyDescent="0.2">
      <c r="D171" s="101"/>
      <c r="E171" s="118"/>
      <c r="F171" s="101"/>
      <c r="G171" s="101"/>
      <c r="H171" s="101"/>
      <c r="I171" s="101"/>
      <c r="J171" s="101"/>
      <c r="K171" s="101"/>
      <c r="L171" s="101"/>
      <c r="M171" s="101"/>
    </row>
    <row r="172" spans="4:13" x14ac:dyDescent="0.2">
      <c r="D172" s="101"/>
      <c r="E172" s="118"/>
      <c r="F172" s="101"/>
      <c r="G172" s="101"/>
      <c r="H172" s="101"/>
      <c r="I172" s="101"/>
      <c r="J172" s="101"/>
      <c r="K172" s="101"/>
      <c r="L172" s="101"/>
      <c r="M172" s="101"/>
    </row>
    <row r="173" spans="4:13" x14ac:dyDescent="0.2">
      <c r="D173" s="101"/>
      <c r="E173" s="118"/>
      <c r="F173" s="101"/>
      <c r="G173" s="101"/>
      <c r="H173" s="101"/>
      <c r="I173" s="101"/>
      <c r="J173" s="101"/>
      <c r="K173" s="101"/>
      <c r="L173" s="101"/>
      <c r="M173" s="101"/>
    </row>
    <row r="174" spans="4:13" x14ac:dyDescent="0.2">
      <c r="D174" s="101"/>
      <c r="E174" s="118"/>
      <c r="F174" s="101"/>
      <c r="G174" s="101"/>
      <c r="H174" s="101"/>
      <c r="I174" s="101"/>
      <c r="J174" s="101"/>
      <c r="K174" s="101"/>
      <c r="L174" s="101"/>
      <c r="M174" s="101"/>
    </row>
    <row r="175" spans="4:13" x14ac:dyDescent="0.2">
      <c r="D175" s="101"/>
      <c r="E175" s="118"/>
      <c r="F175" s="101"/>
      <c r="G175" s="101"/>
      <c r="H175" s="101"/>
      <c r="I175" s="101"/>
      <c r="J175" s="101"/>
      <c r="K175" s="101"/>
      <c r="L175" s="101"/>
      <c r="M175" s="101"/>
    </row>
    <row r="176" spans="4:13" x14ac:dyDescent="0.2">
      <c r="D176" s="101"/>
      <c r="E176" s="118"/>
      <c r="F176" s="101"/>
      <c r="G176" s="101"/>
      <c r="H176" s="101"/>
      <c r="I176" s="101"/>
      <c r="J176" s="101"/>
      <c r="K176" s="101"/>
      <c r="L176" s="101"/>
      <c r="M176" s="101"/>
    </row>
    <row r="177" spans="4:13" x14ac:dyDescent="0.2">
      <c r="D177" s="101"/>
      <c r="E177" s="118"/>
      <c r="F177" s="101"/>
      <c r="G177" s="101"/>
      <c r="H177" s="101"/>
      <c r="I177" s="101"/>
      <c r="J177" s="101"/>
      <c r="K177" s="101"/>
      <c r="L177" s="101"/>
      <c r="M177" s="101"/>
    </row>
    <row r="178" spans="4:13" x14ac:dyDescent="0.2">
      <c r="D178" s="101"/>
      <c r="E178" s="118"/>
      <c r="F178" s="101"/>
      <c r="G178" s="101"/>
      <c r="H178" s="101"/>
      <c r="I178" s="101"/>
      <c r="J178" s="101"/>
      <c r="K178" s="101"/>
      <c r="L178" s="101"/>
      <c r="M178" s="101"/>
    </row>
    <row r="179" spans="4:13" x14ac:dyDescent="0.2">
      <c r="D179" s="101"/>
      <c r="E179" s="118"/>
      <c r="F179" s="101"/>
      <c r="G179" s="101"/>
      <c r="H179" s="101"/>
      <c r="I179" s="101"/>
      <c r="J179" s="101"/>
      <c r="K179" s="101"/>
      <c r="L179" s="101"/>
      <c r="M179" s="101"/>
    </row>
    <row r="180" spans="4:13" x14ac:dyDescent="0.2">
      <c r="D180" s="101"/>
      <c r="E180" s="118"/>
      <c r="F180" s="101"/>
      <c r="G180" s="101"/>
      <c r="H180" s="101"/>
      <c r="I180" s="101"/>
      <c r="J180" s="101"/>
      <c r="K180" s="101"/>
      <c r="L180" s="101"/>
      <c r="M180" s="101"/>
    </row>
    <row r="181" spans="4:13" x14ac:dyDescent="0.2">
      <c r="D181" s="101"/>
      <c r="E181" s="118"/>
      <c r="F181" s="101"/>
      <c r="G181" s="101"/>
      <c r="H181" s="101"/>
      <c r="I181" s="101"/>
      <c r="J181" s="101"/>
      <c r="K181" s="101"/>
      <c r="L181" s="101"/>
      <c r="M181" s="101"/>
    </row>
    <row r="182" spans="4:13" x14ac:dyDescent="0.2">
      <c r="D182" s="101"/>
      <c r="E182" s="118"/>
      <c r="F182" s="101"/>
      <c r="G182" s="101"/>
      <c r="H182" s="101"/>
      <c r="I182" s="101"/>
      <c r="J182" s="101"/>
      <c r="K182" s="101"/>
      <c r="L182" s="101"/>
      <c r="M182" s="101"/>
    </row>
    <row r="183" spans="4:13" x14ac:dyDescent="0.2">
      <c r="D183" s="101"/>
      <c r="E183" s="118"/>
      <c r="F183" s="101"/>
      <c r="G183" s="101"/>
      <c r="H183" s="101"/>
      <c r="I183" s="101"/>
      <c r="J183" s="101"/>
      <c r="K183" s="101"/>
      <c r="L183" s="101"/>
      <c r="M183" s="101"/>
    </row>
    <row r="184" spans="4:13" x14ac:dyDescent="0.2">
      <c r="D184" s="101"/>
      <c r="E184" s="118"/>
      <c r="F184" s="101"/>
      <c r="G184" s="101"/>
      <c r="H184" s="101"/>
      <c r="I184" s="101"/>
      <c r="J184" s="101"/>
      <c r="K184" s="101"/>
      <c r="L184" s="101"/>
      <c r="M184" s="101"/>
    </row>
    <row r="185" spans="4:13" x14ac:dyDescent="0.2">
      <c r="D185" s="101"/>
      <c r="E185" s="118"/>
      <c r="F185" s="101"/>
      <c r="G185" s="101"/>
      <c r="H185" s="101"/>
      <c r="I185" s="101"/>
      <c r="J185" s="101"/>
      <c r="K185" s="101"/>
      <c r="L185" s="101"/>
      <c r="M185" s="101"/>
    </row>
    <row r="186" spans="4:13" x14ac:dyDescent="0.2">
      <c r="D186" s="101"/>
      <c r="E186" s="118"/>
      <c r="F186" s="101"/>
      <c r="G186" s="101"/>
      <c r="H186" s="101"/>
      <c r="I186" s="101"/>
      <c r="J186" s="101"/>
      <c r="K186" s="101"/>
      <c r="L186" s="101"/>
      <c r="M186" s="101"/>
    </row>
    <row r="187" spans="4:13" x14ac:dyDescent="0.2">
      <c r="D187" s="101"/>
      <c r="E187" s="118"/>
      <c r="F187" s="101"/>
      <c r="G187" s="101"/>
      <c r="H187" s="101"/>
      <c r="I187" s="101"/>
      <c r="J187" s="101"/>
      <c r="K187" s="101"/>
      <c r="L187" s="101"/>
      <c r="M187" s="101"/>
    </row>
    <row r="188" spans="4:13" x14ac:dyDescent="0.2">
      <c r="D188" s="101"/>
      <c r="E188" s="118"/>
      <c r="F188" s="101"/>
      <c r="G188" s="101"/>
      <c r="H188" s="101"/>
      <c r="I188" s="101"/>
      <c r="J188" s="101"/>
      <c r="K188" s="101"/>
      <c r="L188" s="101"/>
      <c r="M188" s="101"/>
    </row>
    <row r="189" spans="4:13" x14ac:dyDescent="0.2">
      <c r="D189" s="101"/>
      <c r="E189" s="118"/>
      <c r="F189" s="101"/>
      <c r="G189" s="101"/>
      <c r="H189" s="101"/>
      <c r="I189" s="101"/>
      <c r="J189" s="101"/>
      <c r="K189" s="101"/>
      <c r="L189" s="101"/>
      <c r="M189" s="101"/>
    </row>
    <row r="190" spans="4:13" x14ac:dyDescent="0.2">
      <c r="D190" s="101"/>
      <c r="E190" s="118"/>
      <c r="F190" s="101"/>
      <c r="G190" s="101"/>
      <c r="H190" s="101"/>
      <c r="I190" s="101"/>
      <c r="J190" s="101"/>
      <c r="K190" s="101"/>
      <c r="L190" s="101"/>
      <c r="M190" s="101"/>
    </row>
    <row r="191" spans="4:13" x14ac:dyDescent="0.2">
      <c r="D191" s="101"/>
      <c r="E191" s="118"/>
      <c r="F191" s="101"/>
      <c r="G191" s="101"/>
      <c r="H191" s="101"/>
      <c r="I191" s="101"/>
      <c r="J191" s="101"/>
      <c r="K191" s="101"/>
      <c r="L191" s="101"/>
      <c r="M191" s="101"/>
    </row>
    <row r="192" spans="4:13" x14ac:dyDescent="0.2">
      <c r="D192" s="101"/>
      <c r="E192" s="118"/>
      <c r="F192" s="101"/>
      <c r="G192" s="101"/>
      <c r="H192" s="101"/>
      <c r="I192" s="101"/>
      <c r="J192" s="101"/>
      <c r="K192" s="101"/>
      <c r="L192" s="101"/>
      <c r="M192" s="101"/>
    </row>
    <row r="193" spans="4:13" x14ac:dyDescent="0.2">
      <c r="D193" s="101"/>
      <c r="E193" s="118"/>
      <c r="F193" s="101"/>
      <c r="G193" s="101"/>
      <c r="H193" s="101"/>
      <c r="I193" s="101"/>
      <c r="J193" s="101"/>
      <c r="K193" s="101"/>
      <c r="L193" s="101"/>
      <c r="M193" s="101"/>
    </row>
  </sheetData>
  <mergeCells count="2">
    <mergeCell ref="D2:E2"/>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437C1-2BEE-7C40-BE86-0DEB62531219}">
  <sheetPr>
    <pageSetUpPr fitToPage="1"/>
  </sheetPr>
  <dimension ref="A1:K71"/>
  <sheetViews>
    <sheetView topLeftCell="A49" zoomScale="150" zoomScaleNormal="150" workbookViewId="0">
      <selection activeCell="G26" sqref="G26"/>
    </sheetView>
  </sheetViews>
  <sheetFormatPr baseColWidth="10" defaultColWidth="8.83203125" defaultRowHeight="15" x14ac:dyDescent="0.2"/>
  <cols>
    <col min="1" max="1" width="10.83203125" style="587" customWidth="1"/>
    <col min="2" max="3" width="40.83203125" style="99" customWidth="1"/>
    <col min="4" max="7" width="15.83203125" style="567" customWidth="1"/>
    <col min="8" max="8" width="15.83203125" style="99" customWidth="1"/>
    <col min="9" max="9" width="15.83203125" style="588" customWidth="1"/>
    <col min="10" max="11" width="8.83203125" style="509"/>
    <col min="12" max="16384" width="8.83203125" style="5"/>
  </cols>
  <sheetData>
    <row r="1" spans="1:11" ht="47.25" customHeight="1" thickBot="1" x14ac:dyDescent="0.25">
      <c r="A1" s="732" t="s">
        <v>516</v>
      </c>
      <c r="B1" s="733"/>
      <c r="C1" s="733"/>
      <c r="D1" s="733"/>
      <c r="E1" s="733"/>
      <c r="F1" s="733"/>
      <c r="G1" s="733"/>
      <c r="H1" s="733"/>
      <c r="I1" s="734"/>
    </row>
    <row r="2" spans="1:11" s="512" customFormat="1" ht="15.75" customHeight="1" x14ac:dyDescent="0.2">
      <c r="A2" s="431"/>
      <c r="B2" s="735" t="s">
        <v>517</v>
      </c>
      <c r="C2" s="736"/>
      <c r="D2" s="736"/>
      <c r="E2" s="736"/>
      <c r="F2" s="736"/>
      <c r="G2" s="736"/>
      <c r="H2" s="736"/>
      <c r="I2" s="510"/>
      <c r="J2" s="511"/>
      <c r="K2" s="511"/>
    </row>
    <row r="3" spans="1:11" s="512" customFormat="1" ht="15.75" customHeight="1" x14ac:dyDescent="0.2">
      <c r="A3" s="435"/>
      <c r="B3" s="737" t="s">
        <v>518</v>
      </c>
      <c r="C3" s="738"/>
      <c r="D3" s="738"/>
      <c r="E3" s="738"/>
      <c r="F3" s="738"/>
      <c r="G3" s="738"/>
      <c r="H3" s="738"/>
      <c r="I3" s="437"/>
      <c r="J3" s="511"/>
      <c r="K3" s="511"/>
    </row>
    <row r="4" spans="1:11" s="512" customFormat="1" ht="31.5" customHeight="1" x14ac:dyDescent="0.2">
      <c r="A4" s="435"/>
      <c r="B4" s="737" t="s">
        <v>519</v>
      </c>
      <c r="C4" s="738"/>
      <c r="D4" s="738"/>
      <c r="E4" s="738"/>
      <c r="F4" s="738"/>
      <c r="G4" s="738"/>
      <c r="H4" s="738"/>
      <c r="I4" s="437"/>
      <c r="J4" s="511"/>
      <c r="K4" s="511"/>
    </row>
    <row r="5" spans="1:11" s="512" customFormat="1" ht="31.5" customHeight="1" x14ac:dyDescent="0.2">
      <c r="A5" s="435"/>
      <c r="B5" s="739" t="s">
        <v>520</v>
      </c>
      <c r="C5" s="740"/>
      <c r="D5" s="740"/>
      <c r="E5" s="740"/>
      <c r="F5" s="740"/>
      <c r="G5" s="740"/>
      <c r="H5" s="740"/>
      <c r="I5" s="437"/>
      <c r="J5" s="511"/>
      <c r="K5" s="511"/>
    </row>
    <row r="6" spans="1:11" x14ac:dyDescent="0.2">
      <c r="A6" s="708" t="s">
        <v>32</v>
      </c>
      <c r="B6" s="714" t="s">
        <v>33</v>
      </c>
      <c r="C6" s="724" t="s">
        <v>34</v>
      </c>
      <c r="D6" s="726" t="s">
        <v>521</v>
      </c>
      <c r="E6" s="727"/>
      <c r="F6" s="730" t="s">
        <v>36</v>
      </c>
      <c r="G6" s="727"/>
      <c r="H6" s="726" t="s">
        <v>522</v>
      </c>
      <c r="I6" s="727"/>
    </row>
    <row r="7" spans="1:11" x14ac:dyDescent="0.2">
      <c r="A7" s="709"/>
      <c r="B7" s="723"/>
      <c r="C7" s="725"/>
      <c r="D7" s="728"/>
      <c r="E7" s="729"/>
      <c r="F7" s="731"/>
      <c r="G7" s="729"/>
      <c r="H7" s="728"/>
      <c r="I7" s="729"/>
    </row>
    <row r="8" spans="1:11" x14ac:dyDescent="0.2">
      <c r="A8" s="513"/>
      <c r="B8" s="514"/>
      <c r="C8" s="515"/>
      <c r="D8" s="516"/>
      <c r="E8" s="517"/>
      <c r="F8" s="516"/>
      <c r="G8" s="517"/>
      <c r="H8" s="518"/>
      <c r="I8" s="519"/>
    </row>
    <row r="9" spans="1:11" ht="15.75" customHeight="1" x14ac:dyDescent="0.2">
      <c r="A9" s="520"/>
      <c r="B9" s="741" t="s">
        <v>523</v>
      </c>
      <c r="C9" s="701"/>
      <c r="D9" s="521" t="s">
        <v>39</v>
      </c>
      <c r="E9" s="521" t="s">
        <v>40</v>
      </c>
      <c r="F9" s="521" t="s">
        <v>39</v>
      </c>
      <c r="G9" s="521" t="s">
        <v>40</v>
      </c>
      <c r="H9" s="521" t="s">
        <v>39</v>
      </c>
      <c r="I9" s="522" t="s">
        <v>40</v>
      </c>
    </row>
    <row r="10" spans="1:11" ht="15.75" customHeight="1" x14ac:dyDescent="0.2">
      <c r="A10" s="523" t="s">
        <v>524</v>
      </c>
      <c r="B10" s="524" t="s">
        <v>525</v>
      </c>
      <c r="C10" s="525"/>
      <c r="D10" s="526">
        <v>1463853</v>
      </c>
      <c r="E10" s="527">
        <f>D10/75</f>
        <v>19518.04</v>
      </c>
      <c r="F10" s="528">
        <f>D10*1.17</f>
        <v>1712708.01</v>
      </c>
      <c r="G10" s="529">
        <f>F10/75</f>
        <v>22836.106800000001</v>
      </c>
      <c r="H10" s="530">
        <v>2016000</v>
      </c>
      <c r="I10" s="531">
        <f>H10/75</f>
        <v>26880</v>
      </c>
    </row>
    <row r="11" spans="1:11" ht="15.75" customHeight="1" x14ac:dyDescent="0.2">
      <c r="A11" s="532" t="s">
        <v>526</v>
      </c>
      <c r="B11" s="34" t="s">
        <v>451</v>
      </c>
      <c r="C11" s="533" t="s">
        <v>527</v>
      </c>
      <c r="D11" s="534">
        <v>88723</v>
      </c>
      <c r="E11" s="527">
        <f>D11/75</f>
        <v>1182.9733333333334</v>
      </c>
      <c r="F11" s="535">
        <f>D11*1.17</f>
        <v>103805.90999999999</v>
      </c>
      <c r="G11" s="529">
        <f>F11/75</f>
        <v>1384.0787999999998</v>
      </c>
      <c r="H11" s="28">
        <v>140625</v>
      </c>
      <c r="I11" s="27">
        <f>H11/75</f>
        <v>1875</v>
      </c>
    </row>
    <row r="12" spans="1:11" ht="15.75" customHeight="1" x14ac:dyDescent="0.2">
      <c r="A12" s="536"/>
      <c r="B12" s="537" t="s">
        <v>129</v>
      </c>
      <c r="C12" s="538"/>
      <c r="D12" s="534"/>
      <c r="E12" s="539"/>
      <c r="F12" s="534"/>
      <c r="G12" s="540"/>
      <c r="H12" s="28">
        <v>30000</v>
      </c>
      <c r="I12" s="27">
        <f>H12/75</f>
        <v>400</v>
      </c>
    </row>
    <row r="13" spans="1:11" ht="15.75" customHeight="1" x14ac:dyDescent="0.2">
      <c r="A13" s="541"/>
      <c r="B13" s="742" t="s">
        <v>528</v>
      </c>
      <c r="C13" s="701"/>
      <c r="D13" s="542">
        <f>SUM(D10:D12)</f>
        <v>1552576</v>
      </c>
      <c r="E13" s="52">
        <f>D13/75</f>
        <v>20701.013333333332</v>
      </c>
      <c r="F13" s="542">
        <f>SUM(F10:F12)</f>
        <v>1816513.92</v>
      </c>
      <c r="G13" s="52">
        <f>F13/75</f>
        <v>24220.185600000001</v>
      </c>
      <c r="H13" s="37">
        <f>SUM(H10:H12)</f>
        <v>2186625</v>
      </c>
      <c r="I13" s="87">
        <f>H13/75</f>
        <v>29155</v>
      </c>
    </row>
    <row r="14" spans="1:11" ht="15.75" customHeight="1" x14ac:dyDescent="0.2">
      <c r="A14" s="543"/>
      <c r="B14" s="544"/>
      <c r="C14" s="545"/>
      <c r="D14" s="546"/>
      <c r="E14" s="547"/>
      <c r="F14" s="546"/>
      <c r="G14" s="548"/>
      <c r="H14" s="549"/>
      <c r="I14" s="550"/>
    </row>
    <row r="15" spans="1:11" ht="15.75" customHeight="1" x14ac:dyDescent="0.2">
      <c r="A15" s="551"/>
      <c r="B15" s="741" t="s">
        <v>529</v>
      </c>
      <c r="C15" s="701"/>
      <c r="D15" s="521" t="s">
        <v>39</v>
      </c>
      <c r="E15" s="521" t="s">
        <v>40</v>
      </c>
      <c r="F15" s="521" t="s">
        <v>39</v>
      </c>
      <c r="G15" s="521" t="s">
        <v>40</v>
      </c>
      <c r="H15" s="521" t="s">
        <v>39</v>
      </c>
      <c r="I15" s="522" t="s">
        <v>40</v>
      </c>
    </row>
    <row r="16" spans="1:11" ht="31.5" customHeight="1" x14ac:dyDescent="0.2">
      <c r="A16" s="532"/>
      <c r="B16" s="552" t="s">
        <v>530</v>
      </c>
      <c r="D16" s="534">
        <v>2039850</v>
      </c>
      <c r="E16" s="527">
        <f>D16/75</f>
        <v>27198</v>
      </c>
      <c r="F16" s="534">
        <v>2039850</v>
      </c>
      <c r="G16" s="527">
        <f>F16/75</f>
        <v>27198</v>
      </c>
      <c r="H16" s="28">
        <f>39100*74</f>
        <v>2893400</v>
      </c>
      <c r="I16" s="27">
        <f t="shared" ref="I16:I30" si="0">H16/75</f>
        <v>38578.666666666664</v>
      </c>
    </row>
    <row r="17" spans="1:9" ht="31.5" customHeight="1" x14ac:dyDescent="0.2">
      <c r="A17" s="532"/>
      <c r="B17" s="31" t="s">
        <v>531</v>
      </c>
      <c r="C17" s="99" t="s">
        <v>532</v>
      </c>
      <c r="D17" s="534">
        <v>75400</v>
      </c>
      <c r="E17" s="527">
        <f>D17/75</f>
        <v>1005.3333333333334</v>
      </c>
      <c r="F17" s="534">
        <v>75400</v>
      </c>
      <c r="G17" s="527">
        <f>F17/75</f>
        <v>1005.3333333333334</v>
      </c>
      <c r="H17" s="28">
        <f>(29700*3)+(32670*3)</f>
        <v>187110</v>
      </c>
      <c r="I17" s="27">
        <f t="shared" si="0"/>
        <v>2494.8000000000002</v>
      </c>
    </row>
    <row r="18" spans="1:9" ht="15.75" customHeight="1" x14ac:dyDescent="0.2">
      <c r="A18" s="532"/>
      <c r="B18" s="24" t="s">
        <v>533</v>
      </c>
      <c r="D18" s="534"/>
      <c r="E18" s="539"/>
      <c r="F18" s="534"/>
      <c r="G18" s="540"/>
      <c r="H18" s="28">
        <f>24000*3</f>
        <v>72000</v>
      </c>
      <c r="I18" s="27">
        <f t="shared" si="0"/>
        <v>960</v>
      </c>
    </row>
    <row r="19" spans="1:9" ht="31.5" customHeight="1" x14ac:dyDescent="0.2">
      <c r="A19" s="532" t="s">
        <v>534</v>
      </c>
      <c r="B19" s="24" t="s">
        <v>535</v>
      </c>
      <c r="C19" s="508" t="s">
        <v>536</v>
      </c>
      <c r="D19" s="534">
        <v>182672</v>
      </c>
      <c r="E19" s="527">
        <f>D19/75</f>
        <v>2435.6266666666666</v>
      </c>
      <c r="F19" s="534">
        <v>182672</v>
      </c>
      <c r="G19" s="527">
        <f>F19/75</f>
        <v>2435.6266666666666</v>
      </c>
      <c r="H19" s="28">
        <v>110000</v>
      </c>
      <c r="I19" s="27">
        <f t="shared" si="0"/>
        <v>1466.6666666666667</v>
      </c>
    </row>
    <row r="20" spans="1:9" ht="15.75" customHeight="1" x14ac:dyDescent="0.2">
      <c r="A20" s="532" t="s">
        <v>537</v>
      </c>
      <c r="B20" s="24" t="s">
        <v>538</v>
      </c>
      <c r="D20" s="534"/>
      <c r="E20" s="539"/>
      <c r="F20" s="534"/>
      <c r="G20" s="540"/>
      <c r="H20" s="28">
        <v>80000</v>
      </c>
      <c r="I20" s="27">
        <f t="shared" si="0"/>
        <v>1066.6666666666667</v>
      </c>
    </row>
    <row r="21" spans="1:9" ht="15.75" customHeight="1" x14ac:dyDescent="0.2">
      <c r="A21" s="532" t="s">
        <v>539</v>
      </c>
      <c r="B21" s="24" t="s">
        <v>137</v>
      </c>
      <c r="D21" s="534">
        <v>31200</v>
      </c>
      <c r="E21" s="527">
        <f>D21/75</f>
        <v>416</v>
      </c>
      <c r="F21" s="534">
        <v>31200</v>
      </c>
      <c r="G21" s="527">
        <f>F21/75</f>
        <v>416</v>
      </c>
      <c r="H21" s="28">
        <v>7200</v>
      </c>
      <c r="I21" s="27">
        <f t="shared" si="0"/>
        <v>96</v>
      </c>
    </row>
    <row r="22" spans="1:9" ht="47.25" customHeight="1" x14ac:dyDescent="0.2">
      <c r="A22" s="532"/>
      <c r="B22" s="24" t="s">
        <v>540</v>
      </c>
      <c r="C22" s="508" t="s">
        <v>541</v>
      </c>
      <c r="D22" s="534">
        <v>20000</v>
      </c>
      <c r="E22" s="527">
        <f>D22/75</f>
        <v>266.66666666666669</v>
      </c>
      <c r="F22" s="534">
        <v>20000</v>
      </c>
      <c r="G22" s="527">
        <f>F22/75</f>
        <v>266.66666666666669</v>
      </c>
      <c r="H22" s="28">
        <v>15000</v>
      </c>
      <c r="I22" s="27">
        <f t="shared" si="0"/>
        <v>200</v>
      </c>
    </row>
    <row r="23" spans="1:9" ht="15.75" customHeight="1" x14ac:dyDescent="0.2">
      <c r="A23" s="532"/>
      <c r="B23" s="24" t="s">
        <v>542</v>
      </c>
      <c r="C23" s="99" t="s">
        <v>543</v>
      </c>
      <c r="D23" s="28">
        <v>45350</v>
      </c>
      <c r="E23" s="527">
        <f>D23/75</f>
        <v>604.66666666666663</v>
      </c>
      <c r="F23" s="28">
        <v>45350</v>
      </c>
      <c r="G23" s="527">
        <f>F23/75</f>
        <v>604.66666666666663</v>
      </c>
      <c r="H23" s="28">
        <v>40000</v>
      </c>
      <c r="I23" s="27">
        <f t="shared" si="0"/>
        <v>533.33333333333337</v>
      </c>
    </row>
    <row r="24" spans="1:9" ht="15.75" customHeight="1" x14ac:dyDescent="0.2">
      <c r="A24" s="532"/>
      <c r="B24" s="24" t="s">
        <v>544</v>
      </c>
      <c r="D24" s="534"/>
      <c r="E24" s="539"/>
      <c r="F24" s="534"/>
      <c r="G24" s="540"/>
      <c r="H24" s="28">
        <v>60000</v>
      </c>
      <c r="I24" s="27">
        <f t="shared" si="0"/>
        <v>800</v>
      </c>
    </row>
    <row r="25" spans="1:9" ht="15.75" customHeight="1" x14ac:dyDescent="0.2">
      <c r="A25" s="532"/>
      <c r="B25" s="24" t="s">
        <v>545</v>
      </c>
      <c r="D25" s="534"/>
      <c r="E25" s="539"/>
      <c r="F25" s="534"/>
      <c r="G25" s="540"/>
      <c r="H25" s="28">
        <v>30000</v>
      </c>
      <c r="I25" s="27">
        <f t="shared" si="0"/>
        <v>400</v>
      </c>
    </row>
    <row r="26" spans="1:9" ht="15.75" customHeight="1" x14ac:dyDescent="0.2">
      <c r="A26" s="532"/>
      <c r="B26" s="24" t="s">
        <v>546</v>
      </c>
      <c r="C26" s="99" t="s">
        <v>547</v>
      </c>
      <c r="D26" s="534">
        <v>4000</v>
      </c>
      <c r="E26" s="527">
        <f>D26/75</f>
        <v>53.333333333333336</v>
      </c>
      <c r="F26" s="534">
        <v>4000</v>
      </c>
      <c r="G26" s="527">
        <f>F26/75</f>
        <v>53.333333333333336</v>
      </c>
      <c r="H26" s="28">
        <v>12000</v>
      </c>
      <c r="I26" s="27">
        <f t="shared" si="0"/>
        <v>160</v>
      </c>
    </row>
    <row r="27" spans="1:9" ht="15.75" customHeight="1" x14ac:dyDescent="0.2">
      <c r="A27" s="532"/>
      <c r="B27" s="24" t="s">
        <v>548</v>
      </c>
      <c r="D27" s="534"/>
      <c r="E27" s="539"/>
      <c r="F27" s="534"/>
      <c r="G27" s="540"/>
      <c r="H27" s="28">
        <v>50000</v>
      </c>
      <c r="I27" s="27">
        <f t="shared" si="0"/>
        <v>666.66666666666663</v>
      </c>
    </row>
    <row r="28" spans="1:9" ht="15.75" customHeight="1" x14ac:dyDescent="0.2">
      <c r="A28" s="532"/>
      <c r="B28" s="24" t="s">
        <v>549</v>
      </c>
      <c r="D28" s="534"/>
      <c r="E28" s="539"/>
      <c r="F28" s="534"/>
      <c r="G28" s="540"/>
      <c r="H28" s="28">
        <v>3000</v>
      </c>
      <c r="I28" s="27">
        <f t="shared" si="0"/>
        <v>40</v>
      </c>
    </row>
    <row r="29" spans="1:9" ht="15.75" customHeight="1" x14ac:dyDescent="0.2">
      <c r="A29" s="532"/>
      <c r="B29" s="553" t="s">
        <v>550</v>
      </c>
      <c r="D29" s="534"/>
      <c r="E29" s="539"/>
      <c r="F29" s="534"/>
      <c r="G29" s="540"/>
      <c r="H29" s="28">
        <v>12000</v>
      </c>
      <c r="I29" s="27">
        <f t="shared" si="0"/>
        <v>160</v>
      </c>
    </row>
    <row r="30" spans="1:9" ht="15.75" customHeight="1" x14ac:dyDescent="0.2">
      <c r="A30" s="541"/>
      <c r="B30" s="692" t="s">
        <v>551</v>
      </c>
      <c r="C30" s="701"/>
      <c r="D30" s="542">
        <f>SUM(D16:D29)</f>
        <v>2398472</v>
      </c>
      <c r="E30" s="52">
        <f>D30/75</f>
        <v>31979.626666666667</v>
      </c>
      <c r="F30" s="542">
        <f>SUM(F16:F29)</f>
        <v>2398472</v>
      </c>
      <c r="G30" s="52">
        <f>F30/75</f>
        <v>31979.626666666667</v>
      </c>
      <c r="H30" s="37">
        <f>SUM(H16:H29)</f>
        <v>3571710</v>
      </c>
      <c r="I30" s="87">
        <f t="shared" si="0"/>
        <v>47622.8</v>
      </c>
    </row>
    <row r="31" spans="1:9" ht="15.75" customHeight="1" x14ac:dyDescent="0.2">
      <c r="A31" s="543"/>
      <c r="B31" s="544"/>
      <c r="C31" s="545"/>
      <c r="D31" s="546"/>
      <c r="E31" s="547"/>
      <c r="F31" s="546"/>
      <c r="G31" s="548"/>
      <c r="H31" s="549"/>
      <c r="I31" s="550"/>
    </row>
    <row r="32" spans="1:9" ht="15.75" customHeight="1" x14ac:dyDescent="0.2">
      <c r="A32" s="551"/>
      <c r="B32" s="741" t="s">
        <v>552</v>
      </c>
      <c r="C32" s="701"/>
      <c r="D32" s="521" t="s">
        <v>39</v>
      </c>
      <c r="E32" s="521" t="s">
        <v>40</v>
      </c>
      <c r="F32" s="521" t="s">
        <v>39</v>
      </c>
      <c r="G32" s="521" t="s">
        <v>40</v>
      </c>
      <c r="H32" s="521" t="s">
        <v>39</v>
      </c>
      <c r="I32" s="522" t="s">
        <v>40</v>
      </c>
    </row>
    <row r="33" spans="1:9" ht="15.75" customHeight="1" x14ac:dyDescent="0.2">
      <c r="A33" s="532" t="s">
        <v>553</v>
      </c>
      <c r="B33" s="554" t="s">
        <v>367</v>
      </c>
      <c r="C33" s="555"/>
      <c r="D33" s="534"/>
      <c r="E33" s="539"/>
      <c r="F33" s="534"/>
      <c r="G33" s="540"/>
      <c r="H33" s="28">
        <v>51200</v>
      </c>
      <c r="I33" s="27">
        <f t="shared" ref="I33:I38" si="1">H33/75</f>
        <v>682.66666666666663</v>
      </c>
    </row>
    <row r="34" spans="1:9" ht="15.75" customHeight="1" x14ac:dyDescent="0.2">
      <c r="A34" s="532" t="s">
        <v>554</v>
      </c>
      <c r="B34" s="24" t="s">
        <v>368</v>
      </c>
      <c r="C34" s="25" t="s">
        <v>555</v>
      </c>
      <c r="D34" s="534">
        <v>21050</v>
      </c>
      <c r="E34" s="527">
        <f>D34/75</f>
        <v>280.66666666666669</v>
      </c>
      <c r="F34" s="534">
        <v>42100</v>
      </c>
      <c r="G34" s="527">
        <f>F34/75</f>
        <v>561.33333333333337</v>
      </c>
      <c r="H34" s="28">
        <v>86060</v>
      </c>
      <c r="I34" s="27">
        <f t="shared" si="1"/>
        <v>1147.4666666666667</v>
      </c>
    </row>
    <row r="35" spans="1:9" ht="15.75" customHeight="1" x14ac:dyDescent="0.2">
      <c r="A35" s="532" t="s">
        <v>556</v>
      </c>
      <c r="B35" s="24" t="s">
        <v>369</v>
      </c>
      <c r="C35" s="25" t="s">
        <v>557</v>
      </c>
      <c r="D35" s="534">
        <v>4012</v>
      </c>
      <c r="E35" s="527">
        <f>D35/75</f>
        <v>53.493333333333332</v>
      </c>
      <c r="F35" s="534">
        <v>8024</v>
      </c>
      <c r="G35" s="527">
        <f>F35/75</f>
        <v>106.98666666666666</v>
      </c>
      <c r="H35" s="28">
        <v>15000</v>
      </c>
      <c r="I35" s="27">
        <f t="shared" si="1"/>
        <v>200</v>
      </c>
    </row>
    <row r="36" spans="1:9" ht="15.75" customHeight="1" x14ac:dyDescent="0.2">
      <c r="A36" s="532"/>
      <c r="B36" s="24" t="s">
        <v>370</v>
      </c>
      <c r="C36" s="25"/>
      <c r="D36" s="534"/>
      <c r="E36" s="539"/>
      <c r="F36" s="534"/>
      <c r="G36" s="540"/>
      <c r="H36" s="28">
        <v>65000</v>
      </c>
      <c r="I36" s="27">
        <f t="shared" si="1"/>
        <v>866.66666666666663</v>
      </c>
    </row>
    <row r="37" spans="1:9" ht="15.75" customHeight="1" x14ac:dyDescent="0.2">
      <c r="A37" s="532"/>
      <c r="B37" s="553" t="s">
        <v>371</v>
      </c>
      <c r="C37" s="556" t="s">
        <v>558</v>
      </c>
      <c r="D37" s="28">
        <v>14995</v>
      </c>
      <c r="E37" s="527">
        <f>D37/75</f>
        <v>199.93333333333334</v>
      </c>
      <c r="F37" s="28">
        <v>14995</v>
      </c>
      <c r="G37" s="527">
        <f>F37/75</f>
        <v>199.93333333333334</v>
      </c>
      <c r="H37" s="28">
        <v>15000</v>
      </c>
      <c r="I37" s="27">
        <f t="shared" si="1"/>
        <v>200</v>
      </c>
    </row>
    <row r="38" spans="1:9" ht="15.75" customHeight="1" x14ac:dyDescent="0.2">
      <c r="A38" s="541"/>
      <c r="B38" s="692" t="s">
        <v>559</v>
      </c>
      <c r="C38" s="701"/>
      <c r="D38" s="542">
        <f>SUM(D34:D37)</f>
        <v>40057</v>
      </c>
      <c r="E38" s="52">
        <f>D38/75</f>
        <v>534.09333333333336</v>
      </c>
      <c r="F38" s="542">
        <f>SUM(F34:F37)</f>
        <v>65119</v>
      </c>
      <c r="G38" s="52">
        <f>F38/75</f>
        <v>868.25333333333333</v>
      </c>
      <c r="H38" s="37">
        <f>SUM(H33:H37)</f>
        <v>232260</v>
      </c>
      <c r="I38" s="87">
        <f t="shared" si="1"/>
        <v>3096.8</v>
      </c>
    </row>
    <row r="39" spans="1:9" ht="15.75" customHeight="1" x14ac:dyDescent="0.2">
      <c r="A39" s="543"/>
      <c r="B39" s="544"/>
      <c r="C39" s="545"/>
      <c r="D39" s="557"/>
      <c r="E39" s="558"/>
      <c r="F39" s="557"/>
      <c r="G39" s="559"/>
      <c r="H39" s="560"/>
      <c r="I39" s="550"/>
    </row>
    <row r="40" spans="1:9" ht="15.75" customHeight="1" x14ac:dyDescent="0.2">
      <c r="A40" s="551"/>
      <c r="B40" s="741" t="s">
        <v>560</v>
      </c>
      <c r="C40" s="701"/>
      <c r="D40" s="521" t="s">
        <v>39</v>
      </c>
      <c r="E40" s="521" t="s">
        <v>40</v>
      </c>
      <c r="F40" s="521" t="s">
        <v>39</v>
      </c>
      <c r="G40" s="521" t="s">
        <v>40</v>
      </c>
      <c r="H40" s="521" t="s">
        <v>39</v>
      </c>
      <c r="I40" s="522" t="s">
        <v>40</v>
      </c>
    </row>
    <row r="41" spans="1:9" ht="15.75" customHeight="1" x14ac:dyDescent="0.2">
      <c r="A41" s="523" t="s">
        <v>561</v>
      </c>
      <c r="B41" s="561" t="s">
        <v>65</v>
      </c>
      <c r="C41" s="562"/>
      <c r="D41" s="534">
        <v>840000</v>
      </c>
      <c r="E41" s="527">
        <f>D41/75</f>
        <v>11200</v>
      </c>
      <c r="F41" s="534">
        <v>1282500</v>
      </c>
      <c r="G41" s="527">
        <v>17100</v>
      </c>
      <c r="H41" s="530">
        <v>806280</v>
      </c>
      <c r="I41" s="531">
        <f>H41/75</f>
        <v>10750.4</v>
      </c>
    </row>
    <row r="42" spans="1:9" ht="15.75" customHeight="1" x14ac:dyDescent="0.2">
      <c r="A42" s="541"/>
      <c r="B42" s="692" t="s">
        <v>562</v>
      </c>
      <c r="C42" s="701"/>
      <c r="D42" s="542">
        <f>SUM(D41)</f>
        <v>840000</v>
      </c>
      <c r="E42" s="52">
        <f>D42/75</f>
        <v>11200</v>
      </c>
      <c r="F42" s="542">
        <f>SUM(F41)</f>
        <v>1282500</v>
      </c>
      <c r="G42" s="52">
        <f>F42/75</f>
        <v>17100</v>
      </c>
      <c r="H42" s="37">
        <f>SUM(H41)</f>
        <v>806280</v>
      </c>
      <c r="I42" s="563">
        <f>SUM(I41)</f>
        <v>10750.4</v>
      </c>
    </row>
    <row r="43" spans="1:9" ht="15.75" customHeight="1" x14ac:dyDescent="0.2">
      <c r="A43" s="564"/>
      <c r="B43" s="565"/>
      <c r="C43" s="566"/>
      <c r="D43" s="534"/>
      <c r="E43" s="539"/>
      <c r="F43" s="534"/>
      <c r="H43" s="560"/>
      <c r="I43" s="568"/>
    </row>
    <row r="44" spans="1:9" ht="15.75" customHeight="1" x14ac:dyDescent="0.2">
      <c r="A44" s="551"/>
      <c r="B44" s="741" t="s">
        <v>563</v>
      </c>
      <c r="C44" s="701"/>
      <c r="D44" s="521" t="s">
        <v>39</v>
      </c>
      <c r="E44" s="521" t="s">
        <v>40</v>
      </c>
      <c r="F44" s="521" t="s">
        <v>39</v>
      </c>
      <c r="G44" s="521" t="s">
        <v>40</v>
      </c>
      <c r="H44" s="521" t="s">
        <v>39</v>
      </c>
      <c r="I44" s="522" t="s">
        <v>40</v>
      </c>
    </row>
    <row r="45" spans="1:9" ht="31.5" customHeight="1" x14ac:dyDescent="0.2">
      <c r="A45" s="569" t="s">
        <v>561</v>
      </c>
      <c r="B45" s="570" t="s">
        <v>564</v>
      </c>
      <c r="C45" s="571" t="s">
        <v>565</v>
      </c>
      <c r="D45" s="572">
        <v>65579</v>
      </c>
      <c r="E45" s="527">
        <f>D45/75</f>
        <v>874.38666666666666</v>
      </c>
      <c r="F45" s="572">
        <v>131158</v>
      </c>
      <c r="G45" s="527">
        <f>F45/75</f>
        <v>1748.7733333333333</v>
      </c>
      <c r="H45" s="78">
        <v>120000</v>
      </c>
      <c r="I45" s="573">
        <f>H45/75</f>
        <v>1600</v>
      </c>
    </row>
    <row r="46" spans="1:9" ht="15.75" customHeight="1" x14ac:dyDescent="0.2">
      <c r="A46" s="541"/>
      <c r="B46" s="692" t="s">
        <v>566</v>
      </c>
      <c r="C46" s="701"/>
      <c r="D46" s="542">
        <f>SUM(D45)</f>
        <v>65579</v>
      </c>
      <c r="E46" s="52">
        <f>D46/75</f>
        <v>874.38666666666666</v>
      </c>
      <c r="F46" s="542">
        <f>SUM(F45)</f>
        <v>131158</v>
      </c>
      <c r="G46" s="52">
        <f>F46/75</f>
        <v>1748.7733333333333</v>
      </c>
      <c r="H46" s="37">
        <f>SUM(H45:H45)</f>
        <v>120000</v>
      </c>
      <c r="I46" s="87">
        <f>H46/75</f>
        <v>1600</v>
      </c>
    </row>
    <row r="47" spans="1:9" ht="15.75" customHeight="1" x14ac:dyDescent="0.2">
      <c r="A47" s="543"/>
      <c r="B47" s="544"/>
      <c r="C47" s="545"/>
      <c r="D47" s="546"/>
      <c r="E47" s="547"/>
      <c r="F47" s="546"/>
      <c r="G47" s="548"/>
      <c r="H47" s="549"/>
      <c r="I47" s="550"/>
    </row>
    <row r="48" spans="1:9" ht="15.75" customHeight="1" x14ac:dyDescent="0.2">
      <c r="A48" s="551"/>
      <c r="B48" s="741" t="s">
        <v>475</v>
      </c>
      <c r="C48" s="701"/>
      <c r="D48" s="521" t="s">
        <v>39</v>
      </c>
      <c r="E48" s="521" t="s">
        <v>40</v>
      </c>
      <c r="F48" s="521" t="s">
        <v>39</v>
      </c>
      <c r="G48" s="521" t="s">
        <v>40</v>
      </c>
      <c r="H48" s="521" t="s">
        <v>39</v>
      </c>
      <c r="I48" s="522" t="s">
        <v>40</v>
      </c>
    </row>
    <row r="49" spans="1:9" ht="15.75" customHeight="1" x14ac:dyDescent="0.2">
      <c r="A49" s="532" t="s">
        <v>567</v>
      </c>
      <c r="B49" s="554" t="s">
        <v>568</v>
      </c>
      <c r="D49" s="534">
        <v>538650</v>
      </c>
      <c r="E49" s="527">
        <f>D49/75</f>
        <v>7182</v>
      </c>
      <c r="F49" s="534">
        <v>808650</v>
      </c>
      <c r="G49" s="527">
        <f>F49/75</f>
        <v>10782</v>
      </c>
      <c r="H49" s="28">
        <f>(1500*9)*74</f>
        <v>999000</v>
      </c>
      <c r="I49" s="27">
        <f>H49/75</f>
        <v>13320</v>
      </c>
    </row>
    <row r="50" spans="1:9" ht="15.75" customHeight="1" x14ac:dyDescent="0.2">
      <c r="A50" s="532"/>
      <c r="B50" s="24" t="s">
        <v>373</v>
      </c>
      <c r="C50" s="99" t="s">
        <v>569</v>
      </c>
      <c r="D50" s="534">
        <v>30600</v>
      </c>
      <c r="E50" s="527">
        <f>D50/75</f>
        <v>408</v>
      </c>
      <c r="F50" s="534">
        <v>61200</v>
      </c>
      <c r="G50" s="527">
        <f>F50/75</f>
        <v>816</v>
      </c>
      <c r="H50" s="28">
        <v>205200</v>
      </c>
      <c r="I50" s="27">
        <f>H50/75</f>
        <v>2736</v>
      </c>
    </row>
    <row r="51" spans="1:9" ht="15.75" customHeight="1" x14ac:dyDescent="0.2">
      <c r="A51" s="532" t="s">
        <v>570</v>
      </c>
      <c r="B51" s="24" t="s">
        <v>374</v>
      </c>
      <c r="D51" s="534"/>
      <c r="E51" s="539"/>
      <c r="F51" s="534"/>
      <c r="G51" s="540"/>
      <c r="H51" s="28">
        <v>5000</v>
      </c>
      <c r="I51" s="27">
        <f>H51/75</f>
        <v>66.666666666666671</v>
      </c>
    </row>
    <row r="52" spans="1:9" ht="15.75" customHeight="1" x14ac:dyDescent="0.2">
      <c r="A52" s="532"/>
      <c r="B52" s="553" t="s">
        <v>375</v>
      </c>
      <c r="D52" s="534"/>
      <c r="E52" s="539"/>
      <c r="F52" s="534"/>
      <c r="G52" s="540"/>
      <c r="H52" s="28">
        <v>5000</v>
      </c>
      <c r="I52" s="27">
        <f>H52/75</f>
        <v>66.666666666666671</v>
      </c>
    </row>
    <row r="53" spans="1:9" ht="15.75" customHeight="1" x14ac:dyDescent="0.2">
      <c r="A53" s="541"/>
      <c r="B53" s="692" t="s">
        <v>477</v>
      </c>
      <c r="C53" s="701"/>
      <c r="D53" s="542">
        <f>SUM(D49:D52)</f>
        <v>569250</v>
      </c>
      <c r="E53" s="52">
        <f>D53/75</f>
        <v>7590</v>
      </c>
      <c r="F53" s="542">
        <f>SUM(F49:F52)</f>
        <v>869850</v>
      </c>
      <c r="G53" s="52">
        <f>F53/75</f>
        <v>11598</v>
      </c>
      <c r="H53" s="37">
        <f>SUM(H49:H52)</f>
        <v>1214200</v>
      </c>
      <c r="I53" s="87">
        <f>H53/75</f>
        <v>16189.333333333334</v>
      </c>
    </row>
    <row r="54" spans="1:9" ht="15.75" customHeight="1" x14ac:dyDescent="0.2">
      <c r="A54" s="543"/>
      <c r="B54" s="544"/>
      <c r="C54" s="545"/>
      <c r="D54" s="546"/>
      <c r="E54" s="547"/>
      <c r="F54" s="546"/>
      <c r="G54" s="548"/>
      <c r="H54" s="549"/>
      <c r="I54" s="550"/>
    </row>
    <row r="55" spans="1:9" ht="15.75" customHeight="1" x14ac:dyDescent="0.2">
      <c r="A55" s="551"/>
      <c r="B55" s="741" t="s">
        <v>571</v>
      </c>
      <c r="C55" s="701"/>
      <c r="D55" s="521" t="s">
        <v>39</v>
      </c>
      <c r="E55" s="521" t="s">
        <v>40</v>
      </c>
      <c r="F55" s="521" t="s">
        <v>39</v>
      </c>
      <c r="G55" s="521" t="s">
        <v>40</v>
      </c>
      <c r="H55" s="521" t="s">
        <v>39</v>
      </c>
      <c r="I55" s="522" t="s">
        <v>40</v>
      </c>
    </row>
    <row r="56" spans="1:9" ht="15.75" customHeight="1" x14ac:dyDescent="0.2">
      <c r="A56" s="532" t="s">
        <v>572</v>
      </c>
      <c r="B56" s="554" t="s">
        <v>379</v>
      </c>
      <c r="C56" s="555"/>
      <c r="D56" s="534"/>
      <c r="E56" s="539"/>
      <c r="F56" s="534"/>
      <c r="G56" s="540"/>
      <c r="H56" s="28">
        <v>543695</v>
      </c>
      <c r="I56" s="27">
        <f>H56/75</f>
        <v>7249.2666666666664</v>
      </c>
    </row>
    <row r="57" spans="1:9" ht="31.5" customHeight="1" x14ac:dyDescent="0.2">
      <c r="A57" s="532" t="s">
        <v>573</v>
      </c>
      <c r="B57" s="553" t="s">
        <v>574</v>
      </c>
      <c r="C57" s="574" t="s">
        <v>575</v>
      </c>
      <c r="D57" s="575">
        <v>7000</v>
      </c>
      <c r="E57" s="576">
        <f>D57/75</f>
        <v>93.333333333333329</v>
      </c>
      <c r="F57" s="575">
        <v>14000</v>
      </c>
      <c r="G57" s="576">
        <f>F57/75</f>
        <v>186.66666666666666</v>
      </c>
      <c r="H57" s="28">
        <v>20000</v>
      </c>
      <c r="I57" s="27">
        <f>H57/75</f>
        <v>266.66666666666669</v>
      </c>
    </row>
    <row r="58" spans="1:9" ht="15.75" customHeight="1" x14ac:dyDescent="0.2">
      <c r="A58" s="541"/>
      <c r="B58" s="692" t="s">
        <v>576</v>
      </c>
      <c r="C58" s="701"/>
      <c r="D58" s="542">
        <f>SUM(D57)</f>
        <v>7000</v>
      </c>
      <c r="E58" s="52">
        <f>D58/75</f>
        <v>93.333333333333329</v>
      </c>
      <c r="F58" s="542">
        <f>SUM(F57)</f>
        <v>14000</v>
      </c>
      <c r="G58" s="52">
        <f>F58/75</f>
        <v>186.66666666666666</v>
      </c>
      <c r="H58" s="37">
        <f>SUM(H56:H57)</f>
        <v>563695</v>
      </c>
      <c r="I58" s="87">
        <f>H58/75</f>
        <v>7515.9333333333334</v>
      </c>
    </row>
    <row r="59" spans="1:9" ht="15.75" customHeight="1" x14ac:dyDescent="0.2">
      <c r="A59" s="543"/>
      <c r="B59" s="544"/>
      <c r="C59" s="545"/>
      <c r="D59" s="546"/>
      <c r="E59" s="547"/>
      <c r="F59" s="546"/>
      <c r="G59" s="548"/>
      <c r="H59" s="549"/>
      <c r="I59" s="550"/>
    </row>
    <row r="60" spans="1:9" ht="15.75" customHeight="1" x14ac:dyDescent="0.2">
      <c r="A60" s="551"/>
      <c r="B60" s="741" t="s">
        <v>88</v>
      </c>
      <c r="C60" s="701"/>
      <c r="D60" s="521" t="s">
        <v>39</v>
      </c>
      <c r="E60" s="521" t="s">
        <v>40</v>
      </c>
      <c r="F60" s="521" t="s">
        <v>39</v>
      </c>
      <c r="G60" s="521" t="s">
        <v>40</v>
      </c>
      <c r="H60" s="521" t="s">
        <v>39</v>
      </c>
      <c r="I60" s="522" t="s">
        <v>40</v>
      </c>
    </row>
    <row r="61" spans="1:9" ht="15.75" customHeight="1" x14ac:dyDescent="0.2">
      <c r="A61" s="543"/>
      <c r="B61" s="570" t="s">
        <v>125</v>
      </c>
      <c r="C61" s="545"/>
      <c r="D61" s="546"/>
      <c r="E61" s="547"/>
      <c r="F61" s="546"/>
      <c r="G61" s="548"/>
      <c r="H61" s="549"/>
      <c r="I61" s="550"/>
    </row>
    <row r="62" spans="1:9" ht="15.75" customHeight="1" x14ac:dyDescent="0.2">
      <c r="A62" s="541"/>
      <c r="B62" s="692" t="s">
        <v>439</v>
      </c>
      <c r="C62" s="701"/>
      <c r="D62" s="542"/>
      <c r="E62" s="52"/>
      <c r="F62" s="542"/>
      <c r="G62" s="52"/>
      <c r="H62" s="542"/>
      <c r="I62" s="87"/>
    </row>
    <row r="63" spans="1:9" ht="15.75" customHeight="1" x14ac:dyDescent="0.2">
      <c r="A63" s="564"/>
      <c r="B63" s="565"/>
      <c r="C63" s="566"/>
      <c r="D63" s="534"/>
      <c r="E63" s="539"/>
      <c r="F63" s="534"/>
      <c r="H63" s="560"/>
      <c r="I63" s="577"/>
    </row>
    <row r="64" spans="1:9" ht="15.75" customHeight="1" x14ac:dyDescent="0.2">
      <c r="A64" s="551"/>
      <c r="B64" s="741" t="s">
        <v>91</v>
      </c>
      <c r="C64" s="701"/>
      <c r="D64" s="521" t="s">
        <v>39</v>
      </c>
      <c r="E64" s="521" t="s">
        <v>40</v>
      </c>
      <c r="F64" s="521" t="s">
        <v>39</v>
      </c>
      <c r="G64" s="521" t="s">
        <v>40</v>
      </c>
      <c r="H64" s="521" t="s">
        <v>39</v>
      </c>
      <c r="I64" s="522" t="s">
        <v>40</v>
      </c>
    </row>
    <row r="65" spans="1:9" ht="31.5" customHeight="1" x14ac:dyDescent="0.2">
      <c r="A65" s="578"/>
      <c r="B65" s="83" t="s">
        <v>92</v>
      </c>
      <c r="C65" s="579"/>
      <c r="D65" s="572">
        <v>205443.4</v>
      </c>
      <c r="E65" s="576">
        <v>2739.25</v>
      </c>
      <c r="F65" s="572">
        <v>244661.29</v>
      </c>
      <c r="G65" s="576">
        <v>3262.15</v>
      </c>
      <c r="H65" s="78">
        <v>388296.5</v>
      </c>
      <c r="I65" s="76">
        <v>5177.29</v>
      </c>
    </row>
    <row r="66" spans="1:9" ht="15.75" customHeight="1" x14ac:dyDescent="0.2">
      <c r="A66" s="541"/>
      <c r="B66" s="692" t="s">
        <v>440</v>
      </c>
      <c r="C66" s="701"/>
      <c r="D66" s="542">
        <f>(SUM(D13,D30,D38,D46,D53,D58,D62)-D16-D49)*0.1</f>
        <v>205443.40000000002</v>
      </c>
      <c r="E66" s="52">
        <f>D66/75</f>
        <v>2739.2453333333337</v>
      </c>
      <c r="F66" s="542">
        <f>(SUM(F13,F30,F38,F46,F53,F58,F62)-F16-F49)*0.1</f>
        <v>244661.29200000002</v>
      </c>
      <c r="G66" s="52">
        <f>F66/75</f>
        <v>3262.15056</v>
      </c>
      <c r="H66" s="542">
        <f>(SUM(H13,H30,H38,H46,H53,H58,H62)-H16-H49)*0.1</f>
        <v>399609</v>
      </c>
      <c r="I66" s="87">
        <f>H66/75</f>
        <v>5328.12</v>
      </c>
    </row>
    <row r="67" spans="1:9" ht="15.75" customHeight="1" thickBot="1" x14ac:dyDescent="0.25">
      <c r="A67" s="580"/>
      <c r="B67" s="581"/>
      <c r="C67" s="581"/>
      <c r="D67" s="546"/>
      <c r="E67" s="547"/>
      <c r="F67" s="546"/>
      <c r="G67" s="548"/>
      <c r="H67" s="549"/>
      <c r="I67" s="550"/>
    </row>
    <row r="68" spans="1:9" ht="47.25" customHeight="1" thickBot="1" x14ac:dyDescent="0.25">
      <c r="A68" s="582"/>
      <c r="B68" s="743" t="s">
        <v>577</v>
      </c>
      <c r="C68" s="744"/>
      <c r="D68" s="583">
        <f>SUM(D13,D30,D38,D42,D46,D53,D58,D66)</f>
        <v>5678377.4000000004</v>
      </c>
      <c r="E68" s="584">
        <f>D68/75</f>
        <v>75711.698666666678</v>
      </c>
      <c r="F68" s="583">
        <f>SUM(F13,F30,F38,F42,F46,F53,F58,F66)</f>
        <v>6822274.2120000003</v>
      </c>
      <c r="G68" s="584">
        <f>F68/75</f>
        <v>90963.656159999999</v>
      </c>
      <c r="H68" s="585">
        <f>SUM(H13,H30,H38,H42,H46,H53,H58,H66)</f>
        <v>9094379</v>
      </c>
      <c r="I68" s="586">
        <f>H68/75</f>
        <v>121258.38666666667</v>
      </c>
    </row>
    <row r="70" spans="1:9" x14ac:dyDescent="0.2">
      <c r="A70" s="695" t="s">
        <v>95</v>
      </c>
      <c r="B70" s="696"/>
      <c r="C70" s="696"/>
      <c r="D70" s="697"/>
      <c r="E70" s="697"/>
      <c r="F70" s="697"/>
      <c r="G70" s="697"/>
      <c r="H70" s="697"/>
      <c r="I70" s="697"/>
    </row>
    <row r="71" spans="1:9" x14ac:dyDescent="0.2">
      <c r="A71" s="698"/>
      <c r="B71" s="696"/>
      <c r="C71" s="696"/>
      <c r="D71" s="697"/>
      <c r="E71" s="697"/>
      <c r="F71" s="697"/>
      <c r="G71" s="697"/>
      <c r="H71" s="697"/>
      <c r="I71" s="697"/>
    </row>
  </sheetData>
  <mergeCells count="31">
    <mergeCell ref="B66:C66"/>
    <mergeCell ref="B68:C68"/>
    <mergeCell ref="A70:I71"/>
    <mergeCell ref="B53:C53"/>
    <mergeCell ref="B55:C55"/>
    <mergeCell ref="B58:C58"/>
    <mergeCell ref="B60:C60"/>
    <mergeCell ref="B62:C62"/>
    <mergeCell ref="B64:C64"/>
    <mergeCell ref="B48:C48"/>
    <mergeCell ref="H6:I7"/>
    <mergeCell ref="B9:C9"/>
    <mergeCell ref="B13:C13"/>
    <mergeCell ref="B15:C15"/>
    <mergeCell ref="B30:C30"/>
    <mergeCell ref="B32:C32"/>
    <mergeCell ref="B38:C38"/>
    <mergeCell ref="B40:C40"/>
    <mergeCell ref="B42:C42"/>
    <mergeCell ref="B44:C44"/>
    <mergeCell ref="B46:C46"/>
    <mergeCell ref="A1:I1"/>
    <mergeCell ref="B2:H2"/>
    <mergeCell ref="B3:H3"/>
    <mergeCell ref="B4:H4"/>
    <mergeCell ref="B5:H5"/>
    <mergeCell ref="A6:A7"/>
    <mergeCell ref="B6:B7"/>
    <mergeCell ref="C6:C7"/>
    <mergeCell ref="D6:E7"/>
    <mergeCell ref="F6:G7"/>
  </mergeCells>
  <pageMargins left="0.25" right="0.25" top="0.75" bottom="0.75" header="0.3" footer="0.3"/>
  <pageSetup scale="43"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4D596-216E-4C48-BDC1-E655C8F4D85D}">
  <sheetPr>
    <pageSetUpPr fitToPage="1"/>
  </sheetPr>
  <dimension ref="A1:O25"/>
  <sheetViews>
    <sheetView zoomScale="143" zoomScaleNormal="91" workbookViewId="0">
      <pane xSplit="1" ySplit="3" topLeftCell="B4" activePane="bottomRight" state="frozen"/>
      <selection activeCell="G26" sqref="G26"/>
      <selection pane="topRight" activeCell="G26" sqref="G26"/>
      <selection pane="bottomLeft" activeCell="G26" sqref="G26"/>
      <selection pane="bottomRight" activeCell="G26" sqref="G26"/>
    </sheetView>
  </sheetViews>
  <sheetFormatPr baseColWidth="10" defaultColWidth="9.1640625" defaultRowHeight="16" x14ac:dyDescent="0.2"/>
  <cols>
    <col min="1" max="1" width="9.1640625" style="197"/>
    <col min="2" max="2" width="24.83203125" style="197" bestFit="1" customWidth="1"/>
    <col min="3" max="3" width="18.5" style="197" customWidth="1"/>
    <col min="4" max="4" width="26" style="197" customWidth="1"/>
    <col min="5" max="5" width="11.1640625" style="197" bestFit="1" customWidth="1"/>
    <col min="6" max="6" width="10.83203125" style="197" bestFit="1" customWidth="1"/>
    <col min="7" max="7" width="10.83203125" style="197" customWidth="1"/>
    <col min="8" max="8" width="17.5" style="198" customWidth="1"/>
    <col min="9" max="10" width="17.5" style="199" customWidth="1"/>
    <col min="11" max="11" width="17.33203125" style="197" bestFit="1" customWidth="1"/>
    <col min="12" max="12" width="16.6640625" style="197" bestFit="1" customWidth="1"/>
    <col min="13" max="13" width="17.5" style="197" bestFit="1" customWidth="1"/>
    <col min="14" max="14" width="16.6640625" style="197" customWidth="1"/>
    <col min="15" max="15" width="13.83203125" style="197" customWidth="1"/>
    <col min="16" max="16384" width="9.1640625" style="197"/>
  </cols>
  <sheetData>
    <row r="1" spans="1:13" ht="19" x14ac:dyDescent="0.2">
      <c r="A1" s="196" t="s">
        <v>265</v>
      </c>
    </row>
    <row r="2" spans="1:13" x14ac:dyDescent="0.2">
      <c r="K2" s="773" t="s">
        <v>266</v>
      </c>
      <c r="L2" s="773"/>
      <c r="M2" s="773"/>
    </row>
    <row r="3" spans="1:13" ht="48" x14ac:dyDescent="0.2">
      <c r="A3" s="200" t="s">
        <v>267</v>
      </c>
      <c r="B3" s="200" t="s">
        <v>268</v>
      </c>
      <c r="C3" s="200" t="s">
        <v>117</v>
      </c>
      <c r="D3" s="200" t="s">
        <v>269</v>
      </c>
      <c r="E3" s="200" t="s">
        <v>270</v>
      </c>
      <c r="F3" s="200" t="s">
        <v>271</v>
      </c>
      <c r="G3" s="200" t="s">
        <v>272</v>
      </c>
      <c r="H3" s="201" t="s">
        <v>273</v>
      </c>
      <c r="I3" s="202" t="s">
        <v>274</v>
      </c>
      <c r="J3" s="202" t="s">
        <v>275</v>
      </c>
      <c r="K3" s="203" t="s">
        <v>276</v>
      </c>
      <c r="L3" s="203" t="s">
        <v>277</v>
      </c>
      <c r="M3" s="203" t="s">
        <v>278</v>
      </c>
    </row>
    <row r="4" spans="1:13" ht="15" x14ac:dyDescent="0.2">
      <c r="A4" s="774">
        <v>1</v>
      </c>
      <c r="B4" s="777" t="s">
        <v>279</v>
      </c>
      <c r="C4" s="778"/>
      <c r="D4" s="778"/>
      <c r="E4" s="778"/>
      <c r="F4" s="778"/>
      <c r="G4" s="778"/>
      <c r="H4" s="778"/>
      <c r="I4" s="778"/>
      <c r="J4" s="779"/>
      <c r="K4" s="780" t="s">
        <v>280</v>
      </c>
      <c r="L4" s="780" t="s">
        <v>281</v>
      </c>
      <c r="M4" s="780" t="s">
        <v>282</v>
      </c>
    </row>
    <row r="5" spans="1:13" ht="15" customHeight="1" x14ac:dyDescent="0.2">
      <c r="A5" s="775"/>
      <c r="B5" s="206" t="s">
        <v>283</v>
      </c>
      <c r="C5" s="207" t="s">
        <v>284</v>
      </c>
      <c r="D5" s="207" t="s">
        <v>285</v>
      </c>
      <c r="E5" s="207"/>
      <c r="F5" s="207"/>
      <c r="G5" s="208">
        <v>0.5</v>
      </c>
      <c r="H5" s="209">
        <v>26400</v>
      </c>
      <c r="I5" s="210">
        <v>26400</v>
      </c>
      <c r="J5" s="210">
        <f>I5*12</f>
        <v>316800</v>
      </c>
      <c r="K5" s="781"/>
      <c r="L5" s="781"/>
      <c r="M5" s="781"/>
    </row>
    <row r="6" spans="1:13" x14ac:dyDescent="0.2">
      <c r="A6" s="776"/>
      <c r="B6" s="206" t="s">
        <v>98</v>
      </c>
      <c r="C6" s="207" t="s">
        <v>286</v>
      </c>
      <c r="D6" s="207" t="s">
        <v>287</v>
      </c>
      <c r="E6" s="207"/>
      <c r="F6" s="207"/>
      <c r="G6" s="208">
        <v>0.5</v>
      </c>
      <c r="H6" s="209">
        <v>26400</v>
      </c>
      <c r="I6" s="210">
        <v>26400</v>
      </c>
      <c r="J6" s="210">
        <f>I6*12</f>
        <v>316800</v>
      </c>
      <c r="K6" s="782"/>
      <c r="L6" s="782"/>
      <c r="M6" s="782"/>
    </row>
    <row r="7" spans="1:13" ht="15" x14ac:dyDescent="0.2">
      <c r="A7" s="211">
        <v>2</v>
      </c>
      <c r="B7" s="764" t="s">
        <v>288</v>
      </c>
      <c r="C7" s="765"/>
      <c r="D7" s="765"/>
      <c r="E7" s="765"/>
      <c r="F7" s="765"/>
      <c r="G7" s="765"/>
      <c r="H7" s="765"/>
      <c r="I7" s="765"/>
      <c r="J7" s="766"/>
      <c r="K7" s="212"/>
      <c r="L7" s="212"/>
      <c r="M7" s="212"/>
    </row>
    <row r="8" spans="1:13" ht="32" x14ac:dyDescent="0.2">
      <c r="A8" s="213">
        <v>3</v>
      </c>
      <c r="B8" s="767" t="s">
        <v>289</v>
      </c>
      <c r="C8" s="768"/>
      <c r="D8" s="768"/>
      <c r="E8" s="768"/>
      <c r="F8" s="768"/>
      <c r="G8" s="768"/>
      <c r="H8" s="768"/>
      <c r="I8" s="768"/>
      <c r="J8" s="769"/>
      <c r="K8" s="214" t="s">
        <v>290</v>
      </c>
      <c r="L8" s="214" t="s">
        <v>291</v>
      </c>
      <c r="M8" s="214" t="s">
        <v>292</v>
      </c>
    </row>
    <row r="9" spans="1:13" ht="15" customHeight="1" x14ac:dyDescent="0.2">
      <c r="A9" s="770">
        <v>4</v>
      </c>
      <c r="B9" s="772" t="s">
        <v>296</v>
      </c>
      <c r="C9" s="772"/>
      <c r="D9" s="772"/>
      <c r="E9" s="772"/>
      <c r="F9" s="772"/>
      <c r="G9" s="221"/>
      <c r="H9" s="222"/>
      <c r="I9" s="223"/>
      <c r="J9" s="223"/>
      <c r="K9" s="757" t="s">
        <v>297</v>
      </c>
      <c r="L9" s="757" t="s">
        <v>298</v>
      </c>
      <c r="M9" s="757" t="s">
        <v>299</v>
      </c>
    </row>
    <row r="10" spans="1:13" ht="96" x14ac:dyDescent="0.2">
      <c r="A10" s="771"/>
      <c r="B10" s="224" t="s">
        <v>300</v>
      </c>
      <c r="C10" s="225" t="s">
        <v>301</v>
      </c>
      <c r="D10" s="224" t="s">
        <v>302</v>
      </c>
      <c r="E10" s="226">
        <v>44713</v>
      </c>
      <c r="F10" s="225">
        <v>14</v>
      </c>
      <c r="G10" s="225" t="s">
        <v>303</v>
      </c>
      <c r="H10" s="227">
        <v>33666</v>
      </c>
      <c r="I10" s="228">
        <v>35000</v>
      </c>
      <c r="J10" s="228">
        <f>I10*12</f>
        <v>420000</v>
      </c>
      <c r="K10" s="758"/>
      <c r="L10" s="758"/>
      <c r="M10" s="758"/>
    </row>
    <row r="11" spans="1:13" s="234" customFormat="1" ht="15" x14ac:dyDescent="0.2">
      <c r="A11" s="759">
        <v>5</v>
      </c>
      <c r="B11" s="760" t="s">
        <v>308</v>
      </c>
      <c r="C11" s="761"/>
      <c r="D11" s="761"/>
      <c r="E11" s="761"/>
      <c r="F11" s="761"/>
      <c r="G11" s="761"/>
      <c r="H11" s="761"/>
      <c r="I11" s="761"/>
      <c r="J11" s="762"/>
      <c r="K11" s="763" t="s">
        <v>309</v>
      </c>
      <c r="L11" s="763" t="s">
        <v>310</v>
      </c>
      <c r="M11" s="763" t="s">
        <v>311</v>
      </c>
    </row>
    <row r="12" spans="1:13" x14ac:dyDescent="0.2">
      <c r="A12" s="759"/>
      <c r="B12" s="245" t="s">
        <v>323</v>
      </c>
      <c r="C12" s="246" t="s">
        <v>324</v>
      </c>
      <c r="D12" s="245" t="s">
        <v>325</v>
      </c>
      <c r="E12" s="247">
        <v>44256</v>
      </c>
      <c r="F12" s="248">
        <v>3</v>
      </c>
      <c r="G12" s="249" t="s">
        <v>307</v>
      </c>
      <c r="H12" s="250">
        <v>23000</v>
      </c>
      <c r="I12" s="251">
        <v>23000</v>
      </c>
      <c r="J12" s="251">
        <f>I12*12</f>
        <v>276000</v>
      </c>
      <c r="K12" s="763"/>
      <c r="L12" s="763"/>
      <c r="M12" s="763"/>
    </row>
    <row r="13" spans="1:13" ht="32" x14ac:dyDescent="0.2">
      <c r="A13" s="759"/>
      <c r="B13" s="245" t="s">
        <v>326</v>
      </c>
      <c r="C13" s="246" t="s">
        <v>327</v>
      </c>
      <c r="D13" s="252" t="s">
        <v>328</v>
      </c>
      <c r="E13" s="247">
        <v>43709</v>
      </c>
      <c r="F13" s="248">
        <v>5</v>
      </c>
      <c r="G13" s="253" t="s">
        <v>307</v>
      </c>
      <c r="H13" s="250">
        <v>10000</v>
      </c>
      <c r="I13" s="251">
        <v>16000</v>
      </c>
      <c r="J13" s="251">
        <f>I13*12</f>
        <v>192000</v>
      </c>
      <c r="K13" s="763"/>
      <c r="L13" s="763"/>
      <c r="M13" s="763"/>
    </row>
    <row r="14" spans="1:13" x14ac:dyDescent="0.2">
      <c r="A14" s="759"/>
      <c r="B14" s="245" t="s">
        <v>329</v>
      </c>
      <c r="C14" s="246" t="s">
        <v>330</v>
      </c>
      <c r="D14" s="245" t="s">
        <v>331</v>
      </c>
      <c r="E14" s="247">
        <v>43617</v>
      </c>
      <c r="F14" s="248">
        <v>5</v>
      </c>
      <c r="G14" s="249" t="s">
        <v>307</v>
      </c>
      <c r="H14" s="250">
        <v>17600</v>
      </c>
      <c r="I14" s="251">
        <v>17600</v>
      </c>
      <c r="J14" s="251">
        <f>I14*12</f>
        <v>211200</v>
      </c>
      <c r="K14" s="763"/>
      <c r="L14" s="763"/>
      <c r="M14" s="763"/>
    </row>
    <row r="15" spans="1:13" s="234" customFormat="1" ht="30" customHeight="1" x14ac:dyDescent="0.2">
      <c r="A15" s="254">
        <v>6</v>
      </c>
      <c r="B15" s="745" t="s">
        <v>332</v>
      </c>
      <c r="C15" s="746"/>
      <c r="D15" s="746"/>
      <c r="E15" s="746"/>
      <c r="F15" s="746"/>
      <c r="G15" s="746"/>
      <c r="H15" s="746"/>
      <c r="I15" s="746"/>
      <c r="J15" s="747"/>
      <c r="K15" s="748" t="s">
        <v>333</v>
      </c>
      <c r="L15" s="748" t="s">
        <v>334</v>
      </c>
      <c r="M15" s="748" t="s">
        <v>335</v>
      </c>
    </row>
    <row r="16" spans="1:13" x14ac:dyDescent="0.2">
      <c r="A16" s="254"/>
      <c r="B16" s="260" t="s">
        <v>339</v>
      </c>
      <c r="C16" s="261" t="s">
        <v>340</v>
      </c>
      <c r="D16" s="260"/>
      <c r="E16" s="262">
        <v>45200</v>
      </c>
      <c r="F16" s="261">
        <v>0</v>
      </c>
      <c r="G16" s="261" t="s">
        <v>307</v>
      </c>
      <c r="H16" s="263">
        <v>10000</v>
      </c>
      <c r="I16" s="264">
        <v>10000</v>
      </c>
      <c r="J16" s="264">
        <f>I16*12</f>
        <v>120000</v>
      </c>
      <c r="K16" s="749"/>
      <c r="L16" s="749"/>
      <c r="M16" s="749"/>
    </row>
    <row r="17" spans="1:15" s="234" customFormat="1" ht="15" x14ac:dyDescent="0.2">
      <c r="A17" s="750">
        <v>7</v>
      </c>
      <c r="B17" s="752" t="s">
        <v>345</v>
      </c>
      <c r="C17" s="753"/>
      <c r="D17" s="753"/>
      <c r="E17" s="753"/>
      <c r="F17" s="753"/>
      <c r="G17" s="753"/>
      <c r="H17" s="753"/>
      <c r="I17" s="753"/>
      <c r="J17" s="754"/>
      <c r="K17" s="755" t="s">
        <v>346</v>
      </c>
      <c r="L17" s="755" t="s">
        <v>309</v>
      </c>
      <c r="M17" s="755" t="s">
        <v>347</v>
      </c>
    </row>
    <row r="18" spans="1:15" x14ac:dyDescent="0.2">
      <c r="A18" s="750"/>
      <c r="B18" s="265" t="s">
        <v>348</v>
      </c>
      <c r="C18" s="266" t="s">
        <v>349</v>
      </c>
      <c r="D18" s="265" t="s">
        <v>350</v>
      </c>
      <c r="E18" s="267">
        <v>43252</v>
      </c>
      <c r="F18" s="268">
        <v>6</v>
      </c>
      <c r="G18" s="269" t="s">
        <v>307</v>
      </c>
      <c r="H18" s="270">
        <v>16000</v>
      </c>
      <c r="I18" s="271">
        <v>16000</v>
      </c>
      <c r="J18" s="271">
        <f>I18*12</f>
        <v>192000</v>
      </c>
      <c r="K18" s="755"/>
      <c r="L18" s="755"/>
      <c r="M18" s="755"/>
    </row>
    <row r="19" spans="1:15" x14ac:dyDescent="0.2">
      <c r="A19" s="750"/>
      <c r="B19" s="266" t="s">
        <v>351</v>
      </c>
      <c r="C19" s="266" t="s">
        <v>352</v>
      </c>
      <c r="D19" s="266" t="s">
        <v>353</v>
      </c>
      <c r="E19" s="267">
        <v>43647</v>
      </c>
      <c r="F19" s="268">
        <v>5</v>
      </c>
      <c r="G19" s="269" t="s">
        <v>307</v>
      </c>
      <c r="H19" s="270">
        <v>12000</v>
      </c>
      <c r="I19" s="271">
        <v>12000</v>
      </c>
      <c r="J19" s="271">
        <f>I19*12</f>
        <v>144000</v>
      </c>
      <c r="K19" s="755"/>
      <c r="L19" s="755"/>
      <c r="M19" s="755"/>
    </row>
    <row r="20" spans="1:15" x14ac:dyDescent="0.2">
      <c r="A20" s="750"/>
      <c r="B20" s="266" t="s">
        <v>351</v>
      </c>
      <c r="C20" s="266" t="s">
        <v>354</v>
      </c>
      <c r="D20" s="266" t="s">
        <v>355</v>
      </c>
      <c r="E20" s="267">
        <v>43160</v>
      </c>
      <c r="F20" s="268">
        <v>6</v>
      </c>
      <c r="G20" s="269" t="s">
        <v>307</v>
      </c>
      <c r="H20" s="270">
        <v>12000</v>
      </c>
      <c r="I20" s="271">
        <v>12000</v>
      </c>
      <c r="J20" s="271">
        <f>I20*12</f>
        <v>144000</v>
      </c>
      <c r="K20" s="755"/>
      <c r="L20" s="755"/>
      <c r="M20" s="755"/>
      <c r="N20" s="272" t="s">
        <v>356</v>
      </c>
      <c r="O20" s="272">
        <f>SUM(J5:J6,J10,J12:J14,J16,J18:J21,J22)</f>
        <v>2620800</v>
      </c>
    </row>
    <row r="21" spans="1:15" ht="15" x14ac:dyDescent="0.2">
      <c r="A21" s="750"/>
      <c r="B21" s="269" t="s">
        <v>357</v>
      </c>
      <c r="C21" s="269" t="s">
        <v>358</v>
      </c>
      <c r="D21" s="269" t="s">
        <v>359</v>
      </c>
      <c r="E21" s="273">
        <v>44896</v>
      </c>
      <c r="F21" s="268" t="s">
        <v>360</v>
      </c>
      <c r="G21" s="269" t="s">
        <v>307</v>
      </c>
      <c r="H21" s="274">
        <v>8000</v>
      </c>
      <c r="I21" s="275">
        <v>8000</v>
      </c>
      <c r="J21" s="271">
        <f>I21*12</f>
        <v>96000</v>
      </c>
      <c r="K21" s="755"/>
      <c r="L21" s="755"/>
      <c r="M21" s="755"/>
      <c r="N21" s="276"/>
      <c r="O21" s="277"/>
    </row>
    <row r="22" spans="1:15" ht="17" thickBot="1" x14ac:dyDescent="0.25">
      <c r="A22" s="751"/>
      <c r="B22" s="278" t="s">
        <v>362</v>
      </c>
      <c r="C22" s="278" t="s">
        <v>363</v>
      </c>
      <c r="D22" s="278" t="s">
        <v>364</v>
      </c>
      <c r="E22" s="279">
        <v>43252</v>
      </c>
      <c r="F22" s="280">
        <v>6</v>
      </c>
      <c r="G22" s="281" t="s">
        <v>307</v>
      </c>
      <c r="H22" s="282">
        <v>13200</v>
      </c>
      <c r="I22" s="283">
        <v>16000</v>
      </c>
      <c r="J22" s="283">
        <f>I22*12</f>
        <v>192000</v>
      </c>
      <c r="K22" s="756"/>
      <c r="L22" s="756"/>
      <c r="M22" s="756"/>
    </row>
    <row r="23" spans="1:15" ht="17" thickTop="1" x14ac:dyDescent="0.2">
      <c r="A23" s="293" t="s">
        <v>110</v>
      </c>
      <c r="B23" s="284"/>
      <c r="C23" s="284"/>
      <c r="D23" s="284"/>
      <c r="E23" s="285"/>
      <c r="F23" s="286"/>
      <c r="G23" s="287" t="s">
        <v>110</v>
      </c>
      <c r="H23" s="288">
        <f>SUM(H5:H22)</f>
        <v>208266</v>
      </c>
      <c r="I23" s="289">
        <f>SUM(I5:I22)</f>
        <v>218400</v>
      </c>
      <c r="J23" s="289">
        <f>SUM(J5:J22)</f>
        <v>2620800</v>
      </c>
      <c r="K23" s="290"/>
      <c r="L23" s="290"/>
      <c r="M23" s="290"/>
    </row>
    <row r="24" spans="1:15" x14ac:dyDescent="0.2">
      <c r="B24" s="197" t="s">
        <v>365</v>
      </c>
      <c r="H24" s="197"/>
      <c r="J24" s="197"/>
    </row>
    <row r="25" spans="1:15" ht="15" x14ac:dyDescent="0.2">
      <c r="H25" s="197"/>
      <c r="I25" s="197"/>
      <c r="J25" s="197"/>
    </row>
  </sheetData>
  <mergeCells count="27">
    <mergeCell ref="K2:M2"/>
    <mergeCell ref="A4:A6"/>
    <mergeCell ref="B4:J4"/>
    <mergeCell ref="K4:K6"/>
    <mergeCell ref="L4:L6"/>
    <mergeCell ref="M4:M6"/>
    <mergeCell ref="B7:J7"/>
    <mergeCell ref="B8:J8"/>
    <mergeCell ref="A9:A10"/>
    <mergeCell ref="B9:F9"/>
    <mergeCell ref="K9:K10"/>
    <mergeCell ref="M9:M10"/>
    <mergeCell ref="A11:A14"/>
    <mergeCell ref="B11:J11"/>
    <mergeCell ref="K11:K14"/>
    <mergeCell ref="L11:L14"/>
    <mergeCell ref="M11:M14"/>
    <mergeCell ref="L9:L10"/>
    <mergeCell ref="B15:J15"/>
    <mergeCell ref="K15:K16"/>
    <mergeCell ref="L15:L16"/>
    <mergeCell ref="M15:M16"/>
    <mergeCell ref="A17:A22"/>
    <mergeCell ref="B17:J17"/>
    <mergeCell ref="K17:K22"/>
    <mergeCell ref="L17:L22"/>
    <mergeCell ref="M17:M22"/>
  </mergeCells>
  <pageMargins left="0.25" right="0.25" top="0.75" bottom="0.75" header="0.3" footer="0.3"/>
  <pageSetup scale="5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13C9-C7D1-5246-8AB8-AE49CF3B5494}">
  <sheetPr>
    <pageSetUpPr fitToPage="1"/>
  </sheetPr>
  <dimension ref="A1:O22"/>
  <sheetViews>
    <sheetView zoomScale="150" zoomScaleNormal="91" workbookViewId="0">
      <pane xSplit="1" ySplit="3" topLeftCell="B4" activePane="bottomRight" state="frozen"/>
      <selection activeCell="H17" sqref="H17"/>
      <selection pane="topRight" activeCell="H17" sqref="H17"/>
      <selection pane="bottomLeft" activeCell="H17" sqref="H17"/>
      <selection pane="bottomRight" activeCell="H17" sqref="H17"/>
    </sheetView>
  </sheetViews>
  <sheetFormatPr baseColWidth="10" defaultColWidth="9.1640625" defaultRowHeight="16" x14ac:dyDescent="0.2"/>
  <cols>
    <col min="1" max="1" width="9.1640625" style="197"/>
    <col min="2" max="2" width="24.83203125" style="197" bestFit="1" customWidth="1"/>
    <col min="3" max="3" width="18.5" style="197" customWidth="1"/>
    <col min="4" max="4" width="26" style="197" customWidth="1"/>
    <col min="5" max="5" width="11.1640625" style="197" bestFit="1" customWidth="1"/>
    <col min="6" max="6" width="10.83203125" style="197" bestFit="1" customWidth="1"/>
    <col min="7" max="7" width="10.83203125" style="197" customWidth="1"/>
    <col min="8" max="8" width="17.5" style="198" customWidth="1"/>
    <col min="9" max="10" width="17.5" style="199" customWidth="1"/>
    <col min="11" max="11" width="17.33203125" style="197" bestFit="1" customWidth="1"/>
    <col min="12" max="12" width="16.6640625" style="197" bestFit="1" customWidth="1"/>
    <col min="13" max="13" width="17.5" style="197" bestFit="1" customWidth="1"/>
    <col min="14" max="14" width="16.6640625" style="197" customWidth="1"/>
    <col min="15" max="15" width="13.83203125" style="197" customWidth="1"/>
    <col min="16" max="16384" width="9.1640625" style="197"/>
  </cols>
  <sheetData>
    <row r="1" spans="1:13" ht="19" x14ac:dyDescent="0.2">
      <c r="A1" s="196" t="s">
        <v>265</v>
      </c>
    </row>
    <row r="2" spans="1:13" x14ac:dyDescent="0.2">
      <c r="K2" s="773" t="s">
        <v>266</v>
      </c>
      <c r="L2" s="773"/>
      <c r="M2" s="773"/>
    </row>
    <row r="3" spans="1:13" ht="48" x14ac:dyDescent="0.2">
      <c r="A3" s="200" t="s">
        <v>267</v>
      </c>
      <c r="B3" s="200" t="s">
        <v>268</v>
      </c>
      <c r="C3" s="200" t="s">
        <v>117</v>
      </c>
      <c r="D3" s="200" t="s">
        <v>269</v>
      </c>
      <c r="E3" s="200" t="s">
        <v>270</v>
      </c>
      <c r="F3" s="200" t="s">
        <v>271</v>
      </c>
      <c r="G3" s="200" t="s">
        <v>272</v>
      </c>
      <c r="H3" s="201" t="s">
        <v>273</v>
      </c>
      <c r="I3" s="202" t="s">
        <v>274</v>
      </c>
      <c r="J3" s="202" t="s">
        <v>275</v>
      </c>
      <c r="K3" s="203" t="s">
        <v>276</v>
      </c>
      <c r="L3" s="203" t="s">
        <v>277</v>
      </c>
      <c r="M3" s="203" t="s">
        <v>278</v>
      </c>
    </row>
    <row r="4" spans="1:13" ht="32" x14ac:dyDescent="0.2">
      <c r="A4" s="204">
        <v>1</v>
      </c>
      <c r="B4" s="777" t="s">
        <v>279</v>
      </c>
      <c r="C4" s="778"/>
      <c r="D4" s="778"/>
      <c r="E4" s="778"/>
      <c r="F4" s="778"/>
      <c r="G4" s="778"/>
      <c r="H4" s="778"/>
      <c r="I4" s="778"/>
      <c r="J4" s="779"/>
      <c r="K4" s="205" t="s">
        <v>280</v>
      </c>
      <c r="L4" s="205" t="s">
        <v>281</v>
      </c>
      <c r="M4" s="205" t="s">
        <v>282</v>
      </c>
    </row>
    <row r="5" spans="1:13" ht="15" x14ac:dyDescent="0.2">
      <c r="A5" s="211">
        <v>2</v>
      </c>
      <c r="B5" s="764" t="s">
        <v>288</v>
      </c>
      <c r="C5" s="765"/>
      <c r="D5" s="765"/>
      <c r="E5" s="765"/>
      <c r="F5" s="765"/>
      <c r="G5" s="765"/>
      <c r="H5" s="765"/>
      <c r="I5" s="765"/>
      <c r="J5" s="766"/>
      <c r="K5" s="212"/>
      <c r="L5" s="212"/>
      <c r="M5" s="212"/>
    </row>
    <row r="6" spans="1:13" ht="15" x14ac:dyDescent="0.2">
      <c r="A6" s="787">
        <v>3</v>
      </c>
      <c r="B6" s="767" t="s">
        <v>289</v>
      </c>
      <c r="C6" s="768"/>
      <c r="D6" s="768"/>
      <c r="E6" s="768"/>
      <c r="F6" s="768"/>
      <c r="G6" s="768"/>
      <c r="H6" s="768"/>
      <c r="I6" s="768"/>
      <c r="J6" s="769"/>
      <c r="K6" s="788" t="s">
        <v>290</v>
      </c>
      <c r="L6" s="788" t="s">
        <v>291</v>
      </c>
      <c r="M6" s="788" t="s">
        <v>292</v>
      </c>
    </row>
    <row r="7" spans="1:13" ht="32" x14ac:dyDescent="0.2">
      <c r="A7" s="787"/>
      <c r="B7" s="215" t="s">
        <v>293</v>
      </c>
      <c r="C7" s="215" t="s">
        <v>294</v>
      </c>
      <c r="D7" s="215" t="s">
        <v>295</v>
      </c>
      <c r="E7" s="216">
        <v>44256</v>
      </c>
      <c r="F7" s="217">
        <v>26</v>
      </c>
      <c r="G7" s="218">
        <v>0.8</v>
      </c>
      <c r="H7" s="219">
        <v>44000</v>
      </c>
      <c r="I7" s="220">
        <v>44000</v>
      </c>
      <c r="J7" s="220">
        <f>I7*12</f>
        <v>528000</v>
      </c>
      <c r="K7" s="788"/>
      <c r="L7" s="788"/>
      <c r="M7" s="788"/>
    </row>
    <row r="8" spans="1:13" ht="15" customHeight="1" x14ac:dyDescent="0.2">
      <c r="A8" s="770">
        <v>4</v>
      </c>
      <c r="B8" s="772" t="s">
        <v>296</v>
      </c>
      <c r="C8" s="772"/>
      <c r="D8" s="772"/>
      <c r="E8" s="772"/>
      <c r="F8" s="772"/>
      <c r="G8" s="221"/>
      <c r="H8" s="222"/>
      <c r="I8" s="223"/>
      <c r="J8" s="223"/>
      <c r="K8" s="757" t="s">
        <v>297</v>
      </c>
      <c r="L8" s="757" t="s">
        <v>298</v>
      </c>
      <c r="M8" s="757" t="s">
        <v>299</v>
      </c>
    </row>
    <row r="9" spans="1:13" ht="32" x14ac:dyDescent="0.2">
      <c r="A9" s="785"/>
      <c r="B9" s="229" t="s">
        <v>304</v>
      </c>
      <c r="C9" s="230" t="s">
        <v>305</v>
      </c>
      <c r="D9" s="229" t="s">
        <v>306</v>
      </c>
      <c r="E9" s="231">
        <v>44228</v>
      </c>
      <c r="F9" s="230">
        <v>5</v>
      </c>
      <c r="G9" s="230" t="s">
        <v>307</v>
      </c>
      <c r="H9" s="232">
        <v>16000</v>
      </c>
      <c r="I9" s="233">
        <v>25000</v>
      </c>
      <c r="J9" s="233">
        <f>I9*12</f>
        <v>300000</v>
      </c>
      <c r="K9" s="786"/>
      <c r="L9" s="786"/>
      <c r="M9" s="786"/>
    </row>
    <row r="10" spans="1:13" s="234" customFormat="1" ht="15" x14ac:dyDescent="0.2">
      <c r="A10" s="759">
        <v>5</v>
      </c>
      <c r="B10" s="760" t="s">
        <v>308</v>
      </c>
      <c r="C10" s="761"/>
      <c r="D10" s="761"/>
      <c r="E10" s="761"/>
      <c r="F10" s="761"/>
      <c r="G10" s="761"/>
      <c r="H10" s="761"/>
      <c r="I10" s="761"/>
      <c r="J10" s="762"/>
      <c r="K10" s="763" t="s">
        <v>309</v>
      </c>
      <c r="L10" s="763" t="s">
        <v>310</v>
      </c>
      <c r="M10" s="763" t="s">
        <v>311</v>
      </c>
    </row>
    <row r="11" spans="1:13" s="234" customFormat="1" ht="32" x14ac:dyDescent="0.2">
      <c r="A11" s="759"/>
      <c r="B11" s="235" t="s">
        <v>312</v>
      </c>
      <c r="C11" s="236" t="s">
        <v>313</v>
      </c>
      <c r="D11" s="235" t="s">
        <v>314</v>
      </c>
      <c r="E11" s="237">
        <v>43739</v>
      </c>
      <c r="F11" s="236">
        <v>4</v>
      </c>
      <c r="G11" s="236" t="s">
        <v>307</v>
      </c>
      <c r="H11" s="238">
        <v>16000</v>
      </c>
      <c r="I11" s="239">
        <v>20000</v>
      </c>
      <c r="J11" s="239">
        <f>I11*12</f>
        <v>240000</v>
      </c>
      <c r="K11" s="763"/>
      <c r="L11" s="763"/>
      <c r="M11" s="763"/>
    </row>
    <row r="12" spans="1:13" ht="32" x14ac:dyDescent="0.2">
      <c r="A12" s="759"/>
      <c r="B12" s="235" t="s">
        <v>312</v>
      </c>
      <c r="C12" s="236" t="s">
        <v>315</v>
      </c>
      <c r="D12" s="235" t="s">
        <v>316</v>
      </c>
      <c r="E12" s="237">
        <v>43221</v>
      </c>
      <c r="F12" s="236">
        <v>5</v>
      </c>
      <c r="G12" s="236" t="s">
        <v>307</v>
      </c>
      <c r="H12" s="238">
        <v>16000</v>
      </c>
      <c r="I12" s="239">
        <v>20000</v>
      </c>
      <c r="J12" s="239">
        <f>I12*12</f>
        <v>240000</v>
      </c>
      <c r="K12" s="763"/>
      <c r="L12" s="763"/>
      <c r="M12" s="763"/>
    </row>
    <row r="13" spans="1:13" x14ac:dyDescent="0.2">
      <c r="A13" s="759"/>
      <c r="B13" s="240" t="s">
        <v>317</v>
      </c>
      <c r="C13" s="241" t="s">
        <v>318</v>
      </c>
      <c r="D13" s="240"/>
      <c r="E13" s="242"/>
      <c r="F13" s="241"/>
      <c r="G13" s="241" t="s">
        <v>319</v>
      </c>
      <c r="H13" s="243"/>
      <c r="I13" s="244">
        <v>15000</v>
      </c>
      <c r="J13" s="244">
        <f>I13*12</f>
        <v>180000</v>
      </c>
      <c r="K13" s="763"/>
      <c r="L13" s="763"/>
      <c r="M13" s="763"/>
    </row>
    <row r="14" spans="1:13" ht="32" x14ac:dyDescent="0.2">
      <c r="A14" s="759"/>
      <c r="B14" s="235" t="s">
        <v>320</v>
      </c>
      <c r="C14" s="236" t="s">
        <v>321</v>
      </c>
      <c r="D14" s="235" t="s">
        <v>322</v>
      </c>
      <c r="E14" s="237">
        <v>43101</v>
      </c>
      <c r="F14" s="248">
        <v>6</v>
      </c>
      <c r="G14" s="236" t="s">
        <v>307</v>
      </c>
      <c r="H14" s="238">
        <v>16000</v>
      </c>
      <c r="I14" s="239">
        <v>20000</v>
      </c>
      <c r="J14" s="239">
        <f>I14*12</f>
        <v>240000</v>
      </c>
      <c r="K14" s="763"/>
      <c r="L14" s="763"/>
      <c r="M14" s="763"/>
    </row>
    <row r="15" spans="1:13" s="234" customFormat="1" ht="15" customHeight="1" x14ac:dyDescent="0.2">
      <c r="A15" s="783">
        <v>6</v>
      </c>
      <c r="B15" s="745" t="s">
        <v>332</v>
      </c>
      <c r="C15" s="746"/>
      <c r="D15" s="746"/>
      <c r="E15" s="746"/>
      <c r="F15" s="746"/>
      <c r="G15" s="746"/>
      <c r="H15" s="746"/>
      <c r="I15" s="746"/>
      <c r="J15" s="747"/>
      <c r="K15" s="748" t="s">
        <v>333</v>
      </c>
      <c r="L15" s="748" t="s">
        <v>334</v>
      </c>
      <c r="M15" s="748" t="s">
        <v>335</v>
      </c>
    </row>
    <row r="16" spans="1:13" ht="32" x14ac:dyDescent="0.2">
      <c r="A16" s="783"/>
      <c r="B16" s="255" t="s">
        <v>336</v>
      </c>
      <c r="C16" s="256" t="s">
        <v>337</v>
      </c>
      <c r="D16" s="255" t="s">
        <v>338</v>
      </c>
      <c r="E16" s="257">
        <v>44044</v>
      </c>
      <c r="F16" s="256">
        <v>3</v>
      </c>
      <c r="G16" s="256" t="s">
        <v>307</v>
      </c>
      <c r="H16" s="258">
        <v>10000</v>
      </c>
      <c r="I16" s="259">
        <v>16000</v>
      </c>
      <c r="J16" s="259">
        <f>I16*12</f>
        <v>192000</v>
      </c>
      <c r="K16" s="784"/>
      <c r="L16" s="784"/>
      <c r="M16" s="784"/>
    </row>
    <row r="17" spans="1:15" ht="32" x14ac:dyDescent="0.2">
      <c r="A17" s="254"/>
      <c r="B17" s="255" t="s">
        <v>341</v>
      </c>
      <c r="C17" s="256" t="s">
        <v>342</v>
      </c>
      <c r="D17" s="255" t="s">
        <v>343</v>
      </c>
      <c r="E17" s="257" t="s">
        <v>344</v>
      </c>
      <c r="F17" s="256">
        <v>0</v>
      </c>
      <c r="G17" s="256" t="s">
        <v>307</v>
      </c>
      <c r="H17" s="258">
        <v>8000</v>
      </c>
      <c r="I17" s="259"/>
      <c r="J17" s="259"/>
      <c r="K17" s="749"/>
      <c r="L17" s="749"/>
      <c r="M17" s="749"/>
    </row>
    <row r="18" spans="1:15" s="234" customFormat="1" ht="15" x14ac:dyDescent="0.2">
      <c r="A18" s="750">
        <v>7</v>
      </c>
      <c r="B18" s="752" t="s">
        <v>345</v>
      </c>
      <c r="C18" s="753"/>
      <c r="D18" s="753"/>
      <c r="E18" s="753"/>
      <c r="F18" s="753"/>
      <c r="G18" s="753"/>
      <c r="H18" s="753"/>
      <c r="I18" s="753"/>
      <c r="J18" s="754"/>
      <c r="K18" s="755" t="s">
        <v>346</v>
      </c>
      <c r="L18" s="755" t="s">
        <v>309</v>
      </c>
      <c r="M18" s="755" t="s">
        <v>347</v>
      </c>
    </row>
    <row r="19" spans="1:15" thickBot="1" x14ac:dyDescent="0.25">
      <c r="A19" s="751"/>
      <c r="B19" s="294" t="s">
        <v>361</v>
      </c>
      <c r="C19" s="294" t="s">
        <v>358</v>
      </c>
      <c r="D19" s="294" t="s">
        <v>359</v>
      </c>
      <c r="E19" s="295">
        <v>44896</v>
      </c>
      <c r="F19" s="280" t="s">
        <v>360</v>
      </c>
      <c r="G19" s="294" t="s">
        <v>307</v>
      </c>
      <c r="H19" s="296">
        <v>8000</v>
      </c>
      <c r="I19" s="297">
        <v>8000</v>
      </c>
      <c r="J19" s="297">
        <f>I19*12</f>
        <v>96000</v>
      </c>
      <c r="K19" s="756"/>
      <c r="L19" s="756"/>
      <c r="M19" s="756"/>
      <c r="N19" s="276"/>
      <c r="O19" s="277"/>
    </row>
    <row r="20" spans="1:15" s="234" customFormat="1" ht="17" thickTop="1" x14ac:dyDescent="0.2">
      <c r="A20" s="293" t="s">
        <v>110</v>
      </c>
      <c r="B20" s="292"/>
      <c r="C20" s="292"/>
      <c r="D20" s="292"/>
      <c r="E20" s="291"/>
      <c r="F20" s="298"/>
      <c r="G20" s="287" t="s">
        <v>110</v>
      </c>
      <c r="H20" s="288">
        <f>SUM(H5:H19)</f>
        <v>134000</v>
      </c>
      <c r="I20" s="289">
        <f>SUM(I5:I19)</f>
        <v>168000</v>
      </c>
      <c r="J20" s="289">
        <f>SUM(J5:J19)</f>
        <v>2016000</v>
      </c>
      <c r="K20" s="299"/>
      <c r="L20" s="299"/>
      <c r="M20" s="299"/>
    </row>
    <row r="21" spans="1:15" x14ac:dyDescent="0.2">
      <c r="B21" s="197" t="s">
        <v>365</v>
      </c>
      <c r="H21" s="197"/>
      <c r="J21" s="197"/>
    </row>
    <row r="22" spans="1:15" x14ac:dyDescent="0.2">
      <c r="B22" s="197" t="s">
        <v>366</v>
      </c>
      <c r="H22" s="197"/>
      <c r="I22" s="197"/>
      <c r="J22" s="197"/>
    </row>
  </sheetData>
  <mergeCells count="28">
    <mergeCell ref="K2:M2"/>
    <mergeCell ref="B4:J4"/>
    <mergeCell ref="B5:J5"/>
    <mergeCell ref="A6:A7"/>
    <mergeCell ref="B6:J6"/>
    <mergeCell ref="K6:K7"/>
    <mergeCell ref="L6:L7"/>
    <mergeCell ref="M6:M7"/>
    <mergeCell ref="A10:A14"/>
    <mergeCell ref="B10:J10"/>
    <mergeCell ref="K10:K14"/>
    <mergeCell ref="L10:L14"/>
    <mergeCell ref="M10:M14"/>
    <mergeCell ref="A8:A9"/>
    <mergeCell ref="B8:F8"/>
    <mergeCell ref="K8:K9"/>
    <mergeCell ref="L8:L9"/>
    <mergeCell ref="M8:M9"/>
    <mergeCell ref="A18:A19"/>
    <mergeCell ref="B18:J18"/>
    <mergeCell ref="K18:K19"/>
    <mergeCell ref="L18:L19"/>
    <mergeCell ref="M18:M19"/>
    <mergeCell ref="A15:A16"/>
    <mergeCell ref="B15:J15"/>
    <mergeCell ref="K15:K17"/>
    <mergeCell ref="L15:L17"/>
    <mergeCell ref="M15:M17"/>
  </mergeCells>
  <pageMargins left="0.25" right="0.25" top="0.75" bottom="0.75" header="0.3" footer="0.3"/>
  <pageSetup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72FC6-871F-1846-AA36-6A5CA83BF4B9}">
  <sheetPr>
    <pageSetUpPr fitToPage="1"/>
  </sheetPr>
  <dimension ref="A1:Q41"/>
  <sheetViews>
    <sheetView topLeftCell="A30" zoomScale="150" zoomScaleNormal="150" workbookViewId="0">
      <selection activeCell="H17" sqref="H17"/>
    </sheetView>
  </sheetViews>
  <sheetFormatPr baseColWidth="10" defaultColWidth="8.83203125" defaultRowHeight="15" x14ac:dyDescent="0.2"/>
  <cols>
    <col min="1" max="1" width="9.83203125" style="98" customWidth="1"/>
    <col min="2" max="2" width="4.83203125" style="98" customWidth="1"/>
    <col min="3" max="3" width="9.83203125" style="398" customWidth="1"/>
    <col min="4" max="4" width="27.83203125" style="399" customWidth="1"/>
    <col min="5" max="6" width="12.83203125" style="98" customWidth="1"/>
    <col min="7" max="9" width="9.83203125" style="98" customWidth="1"/>
    <col min="10" max="11" width="11.83203125" style="98" customWidth="1"/>
    <col min="12" max="14" width="9.83203125" style="99" customWidth="1"/>
    <col min="15" max="16" width="11.83203125" style="99" customWidth="1"/>
    <col min="17" max="17" width="9.83203125" style="98" customWidth="1"/>
    <col min="18" max="16384" width="8.83203125" style="5"/>
  </cols>
  <sheetData>
    <row r="1" spans="1:17" ht="47.25" customHeight="1" thickBot="1" x14ac:dyDescent="0.25">
      <c r="A1" s="799" t="s">
        <v>388</v>
      </c>
      <c r="B1" s="800"/>
      <c r="C1" s="800"/>
      <c r="D1" s="800"/>
      <c r="E1" s="800"/>
      <c r="F1" s="800"/>
      <c r="G1" s="800"/>
      <c r="H1" s="800"/>
      <c r="I1" s="800"/>
      <c r="J1" s="800"/>
      <c r="K1" s="800"/>
      <c r="L1" s="800"/>
      <c r="M1" s="800"/>
      <c r="N1" s="800"/>
      <c r="O1" s="800"/>
      <c r="P1" s="801"/>
    </row>
    <row r="2" spans="1:17" s="98" customFormat="1" ht="31.5" customHeight="1" x14ac:dyDescent="0.2">
      <c r="A2" s="8"/>
      <c r="B2" s="706" t="s">
        <v>389</v>
      </c>
      <c r="C2" s="706"/>
      <c r="D2" s="706"/>
      <c r="E2" s="706"/>
      <c r="F2" s="706"/>
      <c r="G2" s="706"/>
      <c r="H2" s="706"/>
      <c r="I2" s="706"/>
      <c r="J2" s="706"/>
      <c r="K2" s="706"/>
      <c r="L2" s="706"/>
      <c r="M2" s="706"/>
      <c r="N2" s="706"/>
      <c r="O2" s="706"/>
      <c r="P2" s="354"/>
    </row>
    <row r="3" spans="1:17" s="98" customFormat="1" ht="15.75" customHeight="1" x14ac:dyDescent="0.2">
      <c r="A3" s="8"/>
      <c r="B3" s="697" t="s">
        <v>390</v>
      </c>
      <c r="C3" s="697"/>
      <c r="D3" s="697"/>
      <c r="E3" s="697"/>
      <c r="F3" s="697"/>
      <c r="G3" s="697"/>
      <c r="H3" s="697"/>
      <c r="I3" s="697"/>
      <c r="J3" s="697"/>
      <c r="K3" s="697"/>
      <c r="L3" s="697"/>
      <c r="M3" s="697"/>
      <c r="N3" s="697"/>
      <c r="O3" s="697"/>
      <c r="P3" s="354"/>
    </row>
    <row r="4" spans="1:17" s="98" customFormat="1" ht="31.5" customHeight="1" x14ac:dyDescent="0.2">
      <c r="A4" s="8"/>
      <c r="B4" s="697" t="s">
        <v>391</v>
      </c>
      <c r="C4" s="697"/>
      <c r="D4" s="697"/>
      <c r="E4" s="697"/>
      <c r="F4" s="697"/>
      <c r="G4" s="697"/>
      <c r="H4" s="697"/>
      <c r="I4" s="697"/>
      <c r="J4" s="697"/>
      <c r="K4" s="697"/>
      <c r="L4" s="697"/>
      <c r="M4" s="697"/>
      <c r="N4" s="697"/>
      <c r="O4" s="697"/>
      <c r="P4" s="354"/>
    </row>
    <row r="5" spans="1:17" s="98" customFormat="1" ht="15.75" customHeight="1" x14ac:dyDescent="0.2">
      <c r="A5" s="8"/>
      <c r="B5" s="697" t="s">
        <v>392</v>
      </c>
      <c r="C5" s="697"/>
      <c r="D5" s="697"/>
      <c r="E5" s="697"/>
      <c r="F5" s="697"/>
      <c r="G5" s="697"/>
      <c r="H5" s="697"/>
      <c r="I5" s="697"/>
      <c r="J5" s="697"/>
      <c r="K5" s="697"/>
      <c r="L5" s="697"/>
      <c r="M5" s="697"/>
      <c r="N5" s="697"/>
      <c r="O5" s="697"/>
      <c r="P5" s="354"/>
    </row>
    <row r="6" spans="1:17" s="356" customFormat="1" ht="31.5" customHeight="1" x14ac:dyDescent="0.2">
      <c r="A6" s="355" t="s">
        <v>32</v>
      </c>
      <c r="B6" s="802" t="s">
        <v>33</v>
      </c>
      <c r="C6" s="802"/>
      <c r="D6" s="802"/>
      <c r="E6" s="802"/>
      <c r="F6" s="355"/>
      <c r="G6" s="802" t="s">
        <v>393</v>
      </c>
      <c r="H6" s="802"/>
      <c r="I6" s="802"/>
      <c r="J6" s="802"/>
      <c r="K6" s="802"/>
      <c r="L6" s="803" t="s">
        <v>394</v>
      </c>
      <c r="M6" s="804"/>
      <c r="N6" s="804"/>
      <c r="O6" s="804"/>
      <c r="P6" s="804"/>
    </row>
    <row r="7" spans="1:17" s="356" customFormat="1" ht="15.75" customHeight="1" x14ac:dyDescent="0.2">
      <c r="A7" s="357"/>
      <c r="B7" s="358"/>
      <c r="C7" s="359"/>
      <c r="D7" s="359"/>
      <c r="E7" s="360"/>
      <c r="F7" s="359"/>
      <c r="G7" s="358"/>
      <c r="H7" s="359"/>
      <c r="I7" s="359"/>
      <c r="J7" s="359"/>
      <c r="K7" s="360"/>
      <c r="L7" s="361"/>
      <c r="M7" s="361"/>
      <c r="N7" s="361"/>
      <c r="O7" s="100"/>
      <c r="P7" s="362"/>
    </row>
    <row r="8" spans="1:17" s="370" customFormat="1" ht="31.5" customHeight="1" x14ac:dyDescent="0.2">
      <c r="A8" s="363"/>
      <c r="B8" s="790" t="s">
        <v>395</v>
      </c>
      <c r="C8" s="790"/>
      <c r="D8" s="790"/>
      <c r="E8" s="790"/>
      <c r="F8" s="364"/>
      <c r="G8" s="365"/>
      <c r="H8" s="365"/>
      <c r="I8" s="365"/>
      <c r="J8" s="365"/>
      <c r="K8" s="365"/>
      <c r="L8" s="366"/>
      <c r="M8" s="366"/>
      <c r="N8" s="366"/>
      <c r="O8" s="367"/>
      <c r="P8" s="368"/>
      <c r="Q8" s="369"/>
    </row>
    <row r="9" spans="1:17" ht="15.75" customHeight="1" x14ac:dyDescent="0.2">
      <c r="A9" s="371"/>
      <c r="B9" s="372" t="s">
        <v>396</v>
      </c>
      <c r="C9" s="51" t="s">
        <v>397</v>
      </c>
      <c r="D9" s="373" t="s">
        <v>398</v>
      </c>
      <c r="E9" s="374" t="s">
        <v>399</v>
      </c>
      <c r="F9" s="375" t="s">
        <v>400</v>
      </c>
      <c r="G9" s="376" t="s">
        <v>401</v>
      </c>
      <c r="H9" s="377" t="s">
        <v>402</v>
      </c>
      <c r="I9" s="377" t="s">
        <v>403</v>
      </c>
      <c r="J9" s="377" t="s">
        <v>110</v>
      </c>
      <c r="K9" s="378" t="s">
        <v>40</v>
      </c>
      <c r="L9" s="379" t="s">
        <v>404</v>
      </c>
      <c r="M9" s="47" t="s">
        <v>402</v>
      </c>
      <c r="N9" s="47" t="s">
        <v>403</v>
      </c>
      <c r="O9" s="47" t="s">
        <v>110</v>
      </c>
      <c r="P9" s="380" t="s">
        <v>40</v>
      </c>
      <c r="Q9" s="381"/>
    </row>
    <row r="10" spans="1:17" ht="31.5" customHeight="1" x14ac:dyDescent="0.2">
      <c r="A10" s="88"/>
      <c r="B10" s="382">
        <v>1</v>
      </c>
      <c r="C10" s="98" t="s">
        <v>405</v>
      </c>
      <c r="D10" s="9" t="s">
        <v>406</v>
      </c>
      <c r="E10" s="383" t="s">
        <v>407</v>
      </c>
      <c r="F10" s="9"/>
      <c r="G10" s="384">
        <v>206636</v>
      </c>
      <c r="H10" s="385">
        <v>22000</v>
      </c>
      <c r="I10" s="385"/>
      <c r="J10" s="385">
        <f>G10+H10+I10</f>
        <v>228636</v>
      </c>
      <c r="K10" s="386">
        <f>J10/75</f>
        <v>3048.48</v>
      </c>
      <c r="L10" s="387"/>
      <c r="M10" s="387">
        <v>50000</v>
      </c>
      <c r="N10" s="387"/>
      <c r="O10" s="387">
        <f t="shared" ref="O10:O20" si="0">L10+M10+N10</f>
        <v>50000</v>
      </c>
      <c r="P10" s="388">
        <f t="shared" ref="P10:P20" si="1">O10/75</f>
        <v>666.66666666666663</v>
      </c>
      <c r="Q10" s="381"/>
    </row>
    <row r="11" spans="1:17" ht="31.5" customHeight="1" x14ac:dyDescent="0.2">
      <c r="A11" s="88"/>
      <c r="B11" s="382">
        <v>2</v>
      </c>
      <c r="C11" s="98" t="s">
        <v>408</v>
      </c>
      <c r="D11" s="9" t="s">
        <v>409</v>
      </c>
      <c r="E11" s="383" t="s">
        <v>410</v>
      </c>
      <c r="F11" s="9"/>
      <c r="G11" s="384">
        <v>100000</v>
      </c>
      <c r="H11" s="385">
        <v>4650</v>
      </c>
      <c r="I11" s="385">
        <v>4300</v>
      </c>
      <c r="J11" s="385">
        <f t="shared" ref="J11:J21" si="2">G11+H11+I11</f>
        <v>108950</v>
      </c>
      <c r="K11" s="386">
        <f t="shared" ref="K11:K21" si="3">J11/75</f>
        <v>1452.6666666666667</v>
      </c>
      <c r="L11" s="387">
        <v>100000</v>
      </c>
      <c r="M11" s="387">
        <v>4650</v>
      </c>
      <c r="N11" s="387">
        <v>4300</v>
      </c>
      <c r="O11" s="387">
        <f t="shared" si="0"/>
        <v>108950</v>
      </c>
      <c r="P11" s="388">
        <f t="shared" si="1"/>
        <v>1452.6666666666667</v>
      </c>
      <c r="Q11" s="381"/>
    </row>
    <row r="12" spans="1:17" ht="31.5" customHeight="1" x14ac:dyDescent="0.2">
      <c r="A12" s="88"/>
      <c r="B12" s="382">
        <v>3</v>
      </c>
      <c r="C12" s="98" t="s">
        <v>411</v>
      </c>
      <c r="D12" s="9" t="s">
        <v>409</v>
      </c>
      <c r="E12" s="383" t="s">
        <v>410</v>
      </c>
      <c r="F12" s="9"/>
      <c r="G12" s="384">
        <v>100000</v>
      </c>
      <c r="H12" s="385">
        <v>4650</v>
      </c>
      <c r="I12" s="385">
        <v>4300</v>
      </c>
      <c r="J12" s="385">
        <f t="shared" si="2"/>
        <v>108950</v>
      </c>
      <c r="K12" s="386">
        <f t="shared" si="3"/>
        <v>1452.6666666666667</v>
      </c>
      <c r="L12" s="387">
        <v>100000</v>
      </c>
      <c r="M12" s="387">
        <v>4650</v>
      </c>
      <c r="N12" s="387">
        <v>4300</v>
      </c>
      <c r="O12" s="387">
        <f t="shared" si="0"/>
        <v>108950</v>
      </c>
      <c r="P12" s="388">
        <f t="shared" si="1"/>
        <v>1452.6666666666667</v>
      </c>
      <c r="Q12" s="381"/>
    </row>
    <row r="13" spans="1:17" ht="31.5" customHeight="1" x14ac:dyDescent="0.2">
      <c r="A13" s="88"/>
      <c r="B13" s="382">
        <v>4</v>
      </c>
      <c r="C13" s="98" t="s">
        <v>412</v>
      </c>
      <c r="D13" s="9" t="s">
        <v>409</v>
      </c>
      <c r="E13" s="383" t="s">
        <v>410</v>
      </c>
      <c r="F13" s="9"/>
      <c r="G13" s="384">
        <v>100000</v>
      </c>
      <c r="H13" s="385">
        <v>4650</v>
      </c>
      <c r="I13" s="385">
        <v>4300</v>
      </c>
      <c r="J13" s="385">
        <f t="shared" si="2"/>
        <v>108950</v>
      </c>
      <c r="K13" s="386">
        <f t="shared" si="3"/>
        <v>1452.6666666666667</v>
      </c>
      <c r="L13" s="387">
        <v>100000</v>
      </c>
      <c r="M13" s="387">
        <v>4650</v>
      </c>
      <c r="N13" s="387">
        <v>4300</v>
      </c>
      <c r="O13" s="387">
        <f t="shared" si="0"/>
        <v>108950</v>
      </c>
      <c r="P13" s="388">
        <f t="shared" si="1"/>
        <v>1452.6666666666667</v>
      </c>
      <c r="Q13" s="381"/>
    </row>
    <row r="14" spans="1:17" ht="31.5" customHeight="1" x14ac:dyDescent="0.2">
      <c r="A14" s="88"/>
      <c r="B14" s="382">
        <v>5</v>
      </c>
      <c r="C14" s="98" t="s">
        <v>413</v>
      </c>
      <c r="D14" s="9" t="s">
        <v>414</v>
      </c>
      <c r="E14" s="383"/>
      <c r="F14" s="9" t="s">
        <v>415</v>
      </c>
      <c r="G14" s="384"/>
      <c r="H14" s="385"/>
      <c r="I14" s="385"/>
      <c r="J14" s="385"/>
      <c r="K14" s="386"/>
      <c r="L14" s="387">
        <v>40000</v>
      </c>
      <c r="M14" s="387"/>
      <c r="N14" s="387"/>
      <c r="O14" s="387">
        <f t="shared" si="0"/>
        <v>40000</v>
      </c>
      <c r="P14" s="388">
        <f t="shared" si="1"/>
        <v>533.33333333333337</v>
      </c>
      <c r="Q14" s="381"/>
    </row>
    <row r="15" spans="1:17" ht="31.5" customHeight="1" x14ac:dyDescent="0.2">
      <c r="A15" s="88"/>
      <c r="B15" s="382">
        <v>6</v>
      </c>
      <c r="C15" s="98" t="s">
        <v>416</v>
      </c>
      <c r="D15" s="9" t="s">
        <v>414</v>
      </c>
      <c r="E15" s="383"/>
      <c r="F15" s="9" t="s">
        <v>417</v>
      </c>
      <c r="G15" s="384" t="s">
        <v>479</v>
      </c>
      <c r="H15" s="385"/>
      <c r="I15" s="385"/>
      <c r="J15" s="385"/>
      <c r="K15" s="386"/>
      <c r="L15" s="387">
        <v>40000</v>
      </c>
      <c r="O15" s="387">
        <f t="shared" si="0"/>
        <v>40000</v>
      </c>
      <c r="P15" s="388">
        <f t="shared" si="1"/>
        <v>533.33333333333337</v>
      </c>
      <c r="Q15" s="381"/>
    </row>
    <row r="16" spans="1:17" ht="31.5" customHeight="1" x14ac:dyDescent="0.2">
      <c r="A16" s="88"/>
      <c r="B16" s="382">
        <v>7</v>
      </c>
      <c r="C16" s="98" t="s">
        <v>418</v>
      </c>
      <c r="D16" s="9" t="s">
        <v>419</v>
      </c>
      <c r="E16" s="383" t="s">
        <v>420</v>
      </c>
      <c r="F16" s="9"/>
      <c r="G16" s="384"/>
      <c r="H16" s="385"/>
      <c r="I16" s="385"/>
      <c r="J16" s="385"/>
      <c r="K16" s="386"/>
      <c r="L16" s="387"/>
      <c r="M16" s="99">
        <v>50000</v>
      </c>
      <c r="O16" s="387">
        <f t="shared" si="0"/>
        <v>50000</v>
      </c>
      <c r="P16" s="388">
        <f t="shared" si="1"/>
        <v>666.66666666666663</v>
      </c>
      <c r="Q16" s="381"/>
    </row>
    <row r="17" spans="1:17" ht="31.5" customHeight="1" x14ac:dyDescent="0.2">
      <c r="A17" s="88"/>
      <c r="B17" s="382">
        <v>8</v>
      </c>
      <c r="C17" s="98" t="s">
        <v>421</v>
      </c>
      <c r="D17" s="9" t="s">
        <v>419</v>
      </c>
      <c r="E17" s="383" t="s">
        <v>420</v>
      </c>
      <c r="F17" s="9"/>
      <c r="G17" s="384"/>
      <c r="H17" s="385"/>
      <c r="I17" s="385"/>
      <c r="J17" s="385"/>
      <c r="K17" s="386"/>
      <c r="L17" s="387"/>
      <c r="M17" s="99">
        <v>50000</v>
      </c>
      <c r="O17" s="387">
        <f t="shared" si="0"/>
        <v>50000</v>
      </c>
      <c r="P17" s="388">
        <f t="shared" si="1"/>
        <v>666.66666666666663</v>
      </c>
      <c r="Q17" s="381"/>
    </row>
    <row r="18" spans="1:17" ht="31.5" customHeight="1" x14ac:dyDescent="0.2">
      <c r="A18" s="88"/>
      <c r="B18" s="382">
        <v>9</v>
      </c>
      <c r="C18" s="98" t="s">
        <v>313</v>
      </c>
      <c r="D18" s="9" t="s">
        <v>422</v>
      </c>
      <c r="E18" s="383" t="s">
        <v>423</v>
      </c>
      <c r="F18" s="9" t="s">
        <v>2</v>
      </c>
      <c r="G18" s="384"/>
      <c r="H18" s="385"/>
      <c r="I18" s="385"/>
      <c r="J18" s="385"/>
      <c r="K18" s="386"/>
      <c r="L18" s="387">
        <v>100000</v>
      </c>
      <c r="M18" s="99">
        <v>50000</v>
      </c>
      <c r="O18" s="387">
        <f t="shared" si="0"/>
        <v>150000</v>
      </c>
      <c r="P18" s="388">
        <f t="shared" si="1"/>
        <v>2000</v>
      </c>
      <c r="Q18" s="381"/>
    </row>
    <row r="19" spans="1:17" ht="31.5" customHeight="1" x14ac:dyDescent="0.2">
      <c r="A19" s="88"/>
      <c r="B19" s="382">
        <v>10</v>
      </c>
      <c r="C19" s="98" t="s">
        <v>424</v>
      </c>
      <c r="D19" s="9" t="s">
        <v>425</v>
      </c>
      <c r="E19" s="383" t="s">
        <v>426</v>
      </c>
      <c r="F19" s="9"/>
      <c r="G19" s="384">
        <v>78000</v>
      </c>
      <c r="H19" s="385"/>
      <c r="I19" s="385">
        <v>30000</v>
      </c>
      <c r="J19" s="385">
        <f t="shared" si="2"/>
        <v>108000</v>
      </c>
      <c r="K19" s="386">
        <f t="shared" si="3"/>
        <v>1440</v>
      </c>
      <c r="L19" s="387">
        <v>78000</v>
      </c>
      <c r="N19" s="389">
        <v>30000</v>
      </c>
      <c r="O19" s="387">
        <f t="shared" si="0"/>
        <v>108000</v>
      </c>
      <c r="P19" s="388">
        <f t="shared" si="1"/>
        <v>1440</v>
      </c>
      <c r="Q19" s="381"/>
    </row>
    <row r="20" spans="1:17" ht="31.5" customHeight="1" x14ac:dyDescent="0.2">
      <c r="A20" s="88"/>
      <c r="B20" s="382">
        <v>11</v>
      </c>
      <c r="C20" s="98" t="s">
        <v>427</v>
      </c>
      <c r="D20" s="9" t="s">
        <v>428</v>
      </c>
      <c r="E20" s="383"/>
      <c r="F20" s="9"/>
      <c r="G20" s="384">
        <v>94282</v>
      </c>
      <c r="H20" s="385"/>
      <c r="I20" s="385"/>
      <c r="J20" s="385">
        <f t="shared" si="2"/>
        <v>94282</v>
      </c>
      <c r="K20" s="386">
        <f t="shared" si="3"/>
        <v>1257.0933333333332</v>
      </c>
      <c r="L20" s="387">
        <v>94282</v>
      </c>
      <c r="O20" s="387">
        <f t="shared" si="0"/>
        <v>94282</v>
      </c>
      <c r="P20" s="388">
        <f t="shared" si="1"/>
        <v>1257.0933333333332</v>
      </c>
      <c r="Q20" s="381"/>
    </row>
    <row r="21" spans="1:17" ht="31.5" customHeight="1" x14ac:dyDescent="0.2">
      <c r="A21" s="88"/>
      <c r="B21" s="382">
        <v>12</v>
      </c>
      <c r="C21" s="98" t="s">
        <v>429</v>
      </c>
      <c r="D21" s="9" t="s">
        <v>430</v>
      </c>
      <c r="E21" s="383" t="s">
        <v>431</v>
      </c>
      <c r="F21" s="9" t="s">
        <v>432</v>
      </c>
      <c r="G21" s="384">
        <v>90000</v>
      </c>
      <c r="H21" s="385"/>
      <c r="I21" s="385"/>
      <c r="J21" s="385">
        <f t="shared" si="2"/>
        <v>90000</v>
      </c>
      <c r="K21" s="386">
        <f t="shared" si="3"/>
        <v>1200</v>
      </c>
      <c r="P21" s="388"/>
      <c r="Q21" s="390"/>
    </row>
    <row r="22" spans="1:17" ht="15.75" customHeight="1" x14ac:dyDescent="0.2">
      <c r="A22" s="391"/>
      <c r="B22" s="805" t="s">
        <v>433</v>
      </c>
      <c r="C22" s="806"/>
      <c r="D22" s="806"/>
      <c r="E22" s="806"/>
      <c r="F22" s="392"/>
      <c r="G22" s="393">
        <f>SUM(G10:G21)</f>
        <v>768918</v>
      </c>
      <c r="H22" s="393">
        <f t="shared" ref="H22:P22" si="4">SUM(H10:H21)</f>
        <v>35950</v>
      </c>
      <c r="I22" s="393">
        <f t="shared" si="4"/>
        <v>42900</v>
      </c>
      <c r="J22" s="393">
        <f t="shared" si="4"/>
        <v>847768</v>
      </c>
      <c r="K22" s="394">
        <f t="shared" si="4"/>
        <v>11303.573333333334</v>
      </c>
      <c r="L22" s="395">
        <f t="shared" si="4"/>
        <v>652282</v>
      </c>
      <c r="M22" s="395">
        <f t="shared" si="4"/>
        <v>213950</v>
      </c>
      <c r="N22" s="395">
        <f t="shared" si="4"/>
        <v>42900</v>
      </c>
      <c r="O22" s="395">
        <f t="shared" si="4"/>
        <v>909132</v>
      </c>
      <c r="P22" s="396">
        <f t="shared" si="4"/>
        <v>12121.760000000002</v>
      </c>
      <c r="Q22" s="397"/>
    </row>
    <row r="23" spans="1:17" ht="15.75" customHeight="1" x14ac:dyDescent="0.2">
      <c r="A23" s="88"/>
      <c r="B23" s="8"/>
      <c r="E23" s="10"/>
      <c r="G23" s="8"/>
      <c r="K23" s="10"/>
      <c r="P23" s="354"/>
    </row>
    <row r="24" spans="1:17" s="405" customFormat="1" ht="31.5" customHeight="1" x14ac:dyDescent="0.2">
      <c r="A24" s="400"/>
      <c r="B24" s="790" t="s">
        <v>434</v>
      </c>
      <c r="C24" s="790"/>
      <c r="D24" s="790"/>
      <c r="E24" s="790"/>
      <c r="F24" s="364"/>
      <c r="G24" s="401"/>
      <c r="H24" s="401" t="s">
        <v>41</v>
      </c>
      <c r="I24" s="401" t="s">
        <v>42</v>
      </c>
      <c r="J24" s="401" t="s">
        <v>39</v>
      </c>
      <c r="K24" s="401" t="s">
        <v>40</v>
      </c>
      <c r="L24" s="402"/>
      <c r="M24" s="403" t="s">
        <v>41</v>
      </c>
      <c r="N24" s="403" t="s">
        <v>42</v>
      </c>
      <c r="O24" s="403" t="s">
        <v>39</v>
      </c>
      <c r="P24" s="404" t="s">
        <v>40</v>
      </c>
      <c r="Q24" s="356"/>
    </row>
    <row r="25" spans="1:17" ht="15.75" customHeight="1" x14ac:dyDescent="0.2">
      <c r="A25" s="88"/>
      <c r="B25" s="8"/>
      <c r="C25" s="791" t="s">
        <v>435</v>
      </c>
      <c r="D25" s="792"/>
      <c r="E25" s="793"/>
      <c r="G25" s="8"/>
      <c r="H25" s="385">
        <v>15095</v>
      </c>
      <c r="I25" s="98">
        <v>2</v>
      </c>
      <c r="J25" s="385">
        <f>H25*I25</f>
        <v>30190</v>
      </c>
      <c r="K25" s="386">
        <f>J25/75</f>
        <v>402.53333333333336</v>
      </c>
      <c r="M25" s="385">
        <v>15400</v>
      </c>
      <c r="N25" s="98">
        <v>12</v>
      </c>
      <c r="O25" s="385">
        <f>M25*N25</f>
        <v>184800</v>
      </c>
      <c r="P25" s="386">
        <f>O25/75</f>
        <v>2464</v>
      </c>
    </row>
    <row r="26" spans="1:17" ht="15.75" customHeight="1" x14ac:dyDescent="0.2">
      <c r="A26" s="88"/>
      <c r="B26" s="8"/>
      <c r="C26" s="791" t="s">
        <v>436</v>
      </c>
      <c r="D26" s="792"/>
      <c r="E26" s="793"/>
      <c r="G26" s="8"/>
      <c r="H26" s="385">
        <v>65424.87</v>
      </c>
      <c r="I26" s="98">
        <v>6</v>
      </c>
      <c r="J26" s="385">
        <f>H26*I26</f>
        <v>392549.22000000003</v>
      </c>
      <c r="K26" s="386">
        <f>J26/75</f>
        <v>5233.9896000000008</v>
      </c>
      <c r="P26" s="354"/>
    </row>
    <row r="27" spans="1:17" ht="15.75" customHeight="1" x14ac:dyDescent="0.2">
      <c r="A27" s="406"/>
      <c r="C27" s="796" t="s">
        <v>437</v>
      </c>
      <c r="D27" s="797"/>
      <c r="E27" s="798"/>
      <c r="F27" s="407"/>
      <c r="G27" s="408"/>
      <c r="H27" s="409"/>
      <c r="I27" s="410"/>
      <c r="J27" s="409"/>
      <c r="K27" s="411"/>
      <c r="M27" s="385">
        <v>18000</v>
      </c>
      <c r="N27" s="98">
        <v>4</v>
      </c>
      <c r="O27" s="385">
        <f>M27*N27</f>
        <v>72000</v>
      </c>
      <c r="P27" s="386">
        <f>O27/75</f>
        <v>960</v>
      </c>
    </row>
    <row r="28" spans="1:17" ht="15.75" customHeight="1" x14ac:dyDescent="0.2">
      <c r="A28" s="391"/>
      <c r="B28" s="693" t="s">
        <v>438</v>
      </c>
      <c r="C28" s="693"/>
      <c r="D28" s="693"/>
      <c r="E28" s="693"/>
      <c r="F28" s="86"/>
      <c r="G28" s="412"/>
      <c r="H28" s="412"/>
      <c r="I28" s="412"/>
      <c r="J28" s="393">
        <f>SUM(J25:J26)</f>
        <v>422739.22000000003</v>
      </c>
      <c r="K28" s="413">
        <f>SUM(K25:K26)</f>
        <v>5636.5229333333345</v>
      </c>
      <c r="L28" s="414"/>
      <c r="M28" s="414"/>
      <c r="N28" s="414"/>
      <c r="O28" s="395">
        <f>SUM(O25:O27)</f>
        <v>256800</v>
      </c>
      <c r="P28" s="415">
        <f>SUM(P25:P27)</f>
        <v>3424</v>
      </c>
    </row>
    <row r="29" spans="1:17" x14ac:dyDescent="0.2">
      <c r="A29" s="88"/>
      <c r="B29" s="8"/>
      <c r="E29" s="10"/>
      <c r="G29" s="8"/>
      <c r="K29" s="10"/>
      <c r="P29" s="354"/>
    </row>
    <row r="30" spans="1:17" ht="31.5" customHeight="1" x14ac:dyDescent="0.2">
      <c r="A30" s="400"/>
      <c r="B30" s="790" t="s">
        <v>88</v>
      </c>
      <c r="C30" s="790"/>
      <c r="D30" s="790"/>
      <c r="E30" s="790"/>
      <c r="F30" s="364"/>
      <c r="G30" s="401"/>
      <c r="H30" s="401"/>
      <c r="I30" s="401"/>
      <c r="J30" s="401"/>
      <c r="K30" s="401"/>
      <c r="L30" s="402"/>
      <c r="M30" s="403"/>
      <c r="N30" s="403"/>
      <c r="O30" s="403"/>
      <c r="P30" s="404"/>
    </row>
    <row r="31" spans="1:17" ht="16" x14ac:dyDescent="0.2">
      <c r="A31" s="88"/>
      <c r="B31" s="8"/>
      <c r="C31" s="791" t="s">
        <v>125</v>
      </c>
      <c r="D31" s="792"/>
      <c r="E31" s="793"/>
      <c r="G31" s="8"/>
      <c r="H31" s="385"/>
      <c r="J31" s="385"/>
      <c r="K31" s="386"/>
      <c r="M31" s="385"/>
      <c r="N31" s="98"/>
      <c r="O31" s="385"/>
      <c r="P31" s="386"/>
    </row>
    <row r="32" spans="1:17" x14ac:dyDescent="0.2">
      <c r="A32" s="391"/>
      <c r="B32" s="693" t="s">
        <v>439</v>
      </c>
      <c r="C32" s="693"/>
      <c r="D32" s="693"/>
      <c r="E32" s="693"/>
      <c r="F32" s="86"/>
      <c r="G32" s="412"/>
      <c r="H32" s="412"/>
      <c r="I32" s="412"/>
      <c r="J32" s="393"/>
      <c r="K32" s="413"/>
      <c r="L32" s="414"/>
      <c r="M32" s="414"/>
      <c r="N32" s="414"/>
      <c r="O32" s="395"/>
      <c r="P32" s="415"/>
    </row>
    <row r="33" spans="1:16" x14ac:dyDescent="0.2">
      <c r="A33" s="88"/>
      <c r="B33" s="8"/>
      <c r="E33" s="10"/>
      <c r="G33" s="8"/>
      <c r="K33" s="10"/>
      <c r="P33" s="354"/>
    </row>
    <row r="34" spans="1:16" ht="31.5" customHeight="1" x14ac:dyDescent="0.2">
      <c r="A34" s="400"/>
      <c r="B34" s="790" t="s">
        <v>91</v>
      </c>
      <c r="C34" s="790"/>
      <c r="D34" s="790"/>
      <c r="E34" s="790"/>
      <c r="F34" s="364"/>
      <c r="G34" s="401"/>
      <c r="H34" s="401"/>
      <c r="I34" s="401"/>
      <c r="J34" s="401" t="s">
        <v>39</v>
      </c>
      <c r="K34" s="401" t="s">
        <v>40</v>
      </c>
      <c r="L34" s="402"/>
      <c r="M34" s="403"/>
      <c r="N34" s="403"/>
      <c r="O34" s="403" t="s">
        <v>39</v>
      </c>
      <c r="P34" s="404" t="s">
        <v>40</v>
      </c>
    </row>
    <row r="35" spans="1:16" ht="31.5" customHeight="1" x14ac:dyDescent="0.2">
      <c r="A35" s="88"/>
      <c r="B35" s="8"/>
      <c r="C35" s="794" t="s">
        <v>92</v>
      </c>
      <c r="D35" s="697"/>
      <c r="E35" s="795"/>
      <c r="F35" s="9"/>
      <c r="G35" s="8"/>
      <c r="H35" s="385"/>
      <c r="J35" s="385">
        <f>SUM(J22,J28,J32)*0.1</f>
        <v>127050.72200000001</v>
      </c>
      <c r="K35" s="386">
        <f>J35/75</f>
        <v>1694.0096266666667</v>
      </c>
      <c r="M35" s="385"/>
      <c r="N35" s="98"/>
      <c r="O35" s="385">
        <f>SUM(O22,O28,O32)*0.1</f>
        <v>116593.20000000001</v>
      </c>
      <c r="P35" s="386">
        <f>O35/75</f>
        <v>1554.5760000000002</v>
      </c>
    </row>
    <row r="36" spans="1:16" x14ac:dyDescent="0.2">
      <c r="A36" s="391"/>
      <c r="B36" s="693" t="s">
        <v>440</v>
      </c>
      <c r="C36" s="693"/>
      <c r="D36" s="693"/>
      <c r="E36" s="693"/>
      <c r="F36" s="86"/>
      <c r="G36" s="412"/>
      <c r="H36" s="412"/>
      <c r="I36" s="412"/>
      <c r="J36" s="393">
        <f>SUM(J35:J35)</f>
        <v>127050.72200000001</v>
      </c>
      <c r="K36" s="393">
        <f>SUM(K35:K35)</f>
        <v>1694.0096266666667</v>
      </c>
      <c r="L36" s="414"/>
      <c r="M36" s="414"/>
      <c r="N36" s="414"/>
      <c r="O36" s="395">
        <f>SUM(O35:O35)</f>
        <v>116593.20000000001</v>
      </c>
      <c r="P36" s="415">
        <f>SUM(P35:P35)</f>
        <v>1554.5760000000002</v>
      </c>
    </row>
    <row r="37" spans="1:16" ht="16" thickBot="1" x14ac:dyDescent="0.25">
      <c r="A37" s="416"/>
      <c r="B37" s="417"/>
      <c r="C37" s="418"/>
      <c r="D37" s="419"/>
      <c r="E37" s="420"/>
      <c r="F37" s="421"/>
      <c r="G37" s="417"/>
      <c r="H37" s="421"/>
      <c r="I37" s="421"/>
      <c r="J37" s="421"/>
      <c r="K37" s="420"/>
      <c r="P37" s="354"/>
    </row>
    <row r="38" spans="1:16" ht="31.5" customHeight="1" thickBot="1" x14ac:dyDescent="0.25">
      <c r="A38" s="422"/>
      <c r="B38" s="789" t="s">
        <v>441</v>
      </c>
      <c r="C38" s="789"/>
      <c r="D38" s="789"/>
      <c r="E38" s="789"/>
      <c r="F38" s="423"/>
      <c r="G38" s="424"/>
      <c r="H38" s="424"/>
      <c r="I38" s="424"/>
      <c r="J38" s="425">
        <f>SUM(J22,J28,J32,J36)</f>
        <v>1397557.942</v>
      </c>
      <c r="K38" s="426">
        <f>J38/75</f>
        <v>18634.105893333333</v>
      </c>
      <c r="L38" s="427"/>
      <c r="M38" s="427"/>
      <c r="N38" s="427"/>
      <c r="O38" s="428">
        <f>SUM(O22,O28,O32,O36)</f>
        <v>1282525.2</v>
      </c>
      <c r="P38" s="429">
        <f>O38/75</f>
        <v>17100.335999999999</v>
      </c>
    </row>
    <row r="40" spans="1:16" x14ac:dyDescent="0.2">
      <c r="A40" s="695" t="s">
        <v>95</v>
      </c>
      <c r="B40" s="696"/>
      <c r="C40" s="696"/>
      <c r="D40" s="697"/>
      <c r="E40" s="697"/>
      <c r="F40" s="697"/>
      <c r="G40" s="697"/>
      <c r="H40" s="697"/>
      <c r="I40" s="697"/>
      <c r="J40" s="697"/>
      <c r="K40" s="697"/>
      <c r="L40" s="697"/>
      <c r="M40" s="697"/>
      <c r="N40" s="697"/>
      <c r="O40" s="697"/>
      <c r="P40" s="697"/>
    </row>
    <row r="41" spans="1:16" x14ac:dyDescent="0.2">
      <c r="A41" s="698"/>
      <c r="B41" s="696"/>
      <c r="C41" s="696"/>
      <c r="D41" s="697"/>
      <c r="E41" s="697"/>
      <c r="F41" s="697"/>
      <c r="G41" s="697"/>
      <c r="H41" s="697"/>
      <c r="I41" s="697"/>
      <c r="J41" s="697"/>
      <c r="K41" s="697"/>
      <c r="L41" s="697"/>
      <c r="M41" s="697"/>
      <c r="N41" s="697"/>
      <c r="O41" s="697"/>
      <c r="P41" s="697"/>
    </row>
  </sheetData>
  <mergeCells count="23">
    <mergeCell ref="C27:E27"/>
    <mergeCell ref="A1:P1"/>
    <mergeCell ref="B2:O2"/>
    <mergeCell ref="B3:O3"/>
    <mergeCell ref="B4:O4"/>
    <mergeCell ref="B5:O5"/>
    <mergeCell ref="B6:E6"/>
    <mergeCell ref="G6:K6"/>
    <mergeCell ref="L6:P6"/>
    <mergeCell ref="B8:E8"/>
    <mergeCell ref="B22:E22"/>
    <mergeCell ref="B24:E24"/>
    <mergeCell ref="C25:E25"/>
    <mergeCell ref="C26:E26"/>
    <mergeCell ref="B36:E36"/>
    <mergeCell ref="B38:E38"/>
    <mergeCell ref="A40:P41"/>
    <mergeCell ref="B28:E28"/>
    <mergeCell ref="B30:E30"/>
    <mergeCell ref="C31:E31"/>
    <mergeCell ref="B32:E32"/>
    <mergeCell ref="B34:E34"/>
    <mergeCell ref="C35:E35"/>
  </mergeCells>
  <pageMargins left="0.7" right="0.7" top="0.75" bottom="0.75" header="0.3" footer="0.3"/>
  <pageSetup scale="46" orientation="portrait"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DAEC9-3727-B843-A747-A8AFA9D8FC56}">
  <dimension ref="A1"/>
  <sheetViews>
    <sheetView workbookViewId="0">
      <selection activeCell="H17" sqref="H17"/>
    </sheetView>
  </sheetViews>
  <sheetFormatPr baseColWidth="10" defaultColWidth="10.83203125" defaultRowHeight="16" x14ac:dyDescent="0.2"/>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3D3B3-B11D-D045-A632-D769D6042100}">
  <dimension ref="B2:D12"/>
  <sheetViews>
    <sheetView zoomScale="173" workbookViewId="0">
      <selection activeCell="H17" sqref="H17"/>
    </sheetView>
  </sheetViews>
  <sheetFormatPr baseColWidth="10" defaultColWidth="10.83203125" defaultRowHeight="16" x14ac:dyDescent="0.2"/>
  <cols>
    <col min="1" max="1" width="5.33203125" customWidth="1"/>
    <col min="2" max="2" width="33" customWidth="1"/>
    <col min="3" max="3" width="10.83203125" style="101"/>
  </cols>
  <sheetData>
    <row r="2" spans="2:4" x14ac:dyDescent="0.2">
      <c r="B2" s="127" t="s">
        <v>16</v>
      </c>
      <c r="C2" s="191">
        <v>15000</v>
      </c>
    </row>
    <row r="3" spans="2:4" x14ac:dyDescent="0.2">
      <c r="B3" s="127" t="s">
        <v>17</v>
      </c>
      <c r="C3" s="191">
        <v>4000</v>
      </c>
    </row>
    <row r="4" spans="2:4" x14ac:dyDescent="0.2">
      <c r="B4" s="127" t="s">
        <v>195</v>
      </c>
      <c r="C4" s="191">
        <v>3000</v>
      </c>
      <c r="D4" s="127" t="s">
        <v>196</v>
      </c>
    </row>
    <row r="5" spans="2:4" x14ac:dyDescent="0.2">
      <c r="B5" s="127" t="s">
        <v>189</v>
      </c>
      <c r="C5" s="191">
        <v>2000</v>
      </c>
    </row>
    <row r="6" spans="2:4" x14ac:dyDescent="0.2">
      <c r="B6" s="127" t="s">
        <v>194</v>
      </c>
      <c r="C6" s="191">
        <v>1500</v>
      </c>
    </row>
    <row r="7" spans="2:4" x14ac:dyDescent="0.2">
      <c r="B7" s="127" t="s">
        <v>193</v>
      </c>
      <c r="C7" s="191">
        <v>1000</v>
      </c>
    </row>
    <row r="8" spans="2:4" x14ac:dyDescent="0.2">
      <c r="B8" s="127" t="s">
        <v>192</v>
      </c>
      <c r="C8" s="191">
        <v>700</v>
      </c>
    </row>
    <row r="9" spans="2:4" x14ac:dyDescent="0.2">
      <c r="B9" s="127" t="s">
        <v>191</v>
      </c>
      <c r="C9" s="191">
        <v>250</v>
      </c>
    </row>
    <row r="10" spans="2:4" x14ac:dyDescent="0.2">
      <c r="B10" s="127" t="s">
        <v>190</v>
      </c>
      <c r="C10" s="191">
        <v>200</v>
      </c>
    </row>
    <row r="11" spans="2:4" x14ac:dyDescent="0.2">
      <c r="B11" s="127" t="s">
        <v>197</v>
      </c>
      <c r="C11" s="191">
        <v>0</v>
      </c>
      <c r="D11" s="127" t="s">
        <v>198</v>
      </c>
    </row>
    <row r="12" spans="2:4" x14ac:dyDescent="0.2">
      <c r="C12" s="190">
        <f>SUM(C2:C11)</f>
        <v>27650</v>
      </c>
    </row>
  </sheetData>
  <sortState xmlns:xlrd2="http://schemas.microsoft.com/office/spreadsheetml/2017/richdata2" ref="B2:D11">
    <sortCondition descending="1" ref="C2:C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DCA4-FD7C-7A40-ABC5-AA6CE4704471}">
  <dimension ref="A1:R51"/>
  <sheetViews>
    <sheetView zoomScale="150" workbookViewId="0">
      <pane xSplit="4" ySplit="2" topLeftCell="E3" activePane="bottomRight" state="frozen"/>
      <selection activeCell="F25" sqref="F25"/>
      <selection pane="topRight" activeCell="F25" sqref="F25"/>
      <selection pane="bottomLeft" activeCell="F25" sqref="F25"/>
      <selection pane="bottomRight" activeCell="K14" sqref="K14"/>
    </sheetView>
  </sheetViews>
  <sheetFormatPr baseColWidth="10" defaultColWidth="10.83203125" defaultRowHeight="16" x14ac:dyDescent="0.2"/>
  <cols>
    <col min="1" max="1" width="3.6640625" customWidth="1"/>
    <col min="2" max="2" width="2.6640625" style="3" customWidth="1"/>
    <col min="3" max="3" width="6.6640625" customWidth="1"/>
    <col min="4" max="4" width="33" customWidth="1"/>
    <col min="5" max="5" width="11.5" style="101" bestFit="1" customWidth="1"/>
    <col min="6" max="6" width="10.83203125" style="123"/>
    <col min="8" max="8" width="10.83203125" style="101"/>
    <col min="12" max="12" width="18" customWidth="1"/>
    <col min="13" max="13" width="10.83203125" style="101"/>
    <col min="16" max="16" width="20.6640625" customWidth="1"/>
  </cols>
  <sheetData>
    <row r="1" spans="1:18" s="3" customFormat="1" x14ac:dyDescent="0.2">
      <c r="A1" s="192"/>
      <c r="B1" s="192"/>
      <c r="C1" s="610" t="s">
        <v>23</v>
      </c>
      <c r="D1" s="192" t="s">
        <v>23</v>
      </c>
      <c r="E1" s="193">
        <v>2024</v>
      </c>
      <c r="F1" s="351" t="s">
        <v>23</v>
      </c>
      <c r="H1" s="111" t="s">
        <v>613</v>
      </c>
      <c r="I1" s="3" t="s">
        <v>614</v>
      </c>
      <c r="Q1" s="111" t="s">
        <v>613</v>
      </c>
      <c r="R1" s="3" t="s">
        <v>614</v>
      </c>
    </row>
    <row r="2" spans="1:18" s="3" customFormat="1" x14ac:dyDescent="0.2">
      <c r="A2" s="194"/>
      <c r="B2" s="194"/>
      <c r="C2" s="194"/>
      <c r="D2" s="194"/>
      <c r="E2" s="195" t="s">
        <v>8</v>
      </c>
      <c r="F2" s="351" t="s">
        <v>386</v>
      </c>
      <c r="H2" s="188"/>
      <c r="Q2" s="188"/>
    </row>
    <row r="3" spans="1:18" s="3" customFormat="1" ht="9" customHeight="1" x14ac:dyDescent="0.2">
      <c r="E3" s="611"/>
      <c r="F3" s="612"/>
      <c r="H3" s="188"/>
      <c r="Q3" s="188"/>
    </row>
    <row r="4" spans="1:18" s="3" customFormat="1" x14ac:dyDescent="0.2">
      <c r="A4" s="3" t="s">
        <v>596</v>
      </c>
      <c r="E4" s="611"/>
      <c r="F4" s="612"/>
      <c r="H4" s="188"/>
      <c r="Q4" s="188"/>
    </row>
    <row r="5" spans="1:18" s="3" customFormat="1" x14ac:dyDescent="0.2">
      <c r="B5" s="3" t="s">
        <v>598</v>
      </c>
      <c r="E5" s="611"/>
      <c r="F5" s="612"/>
      <c r="H5" s="188"/>
      <c r="Q5" s="188"/>
    </row>
    <row r="6" spans="1:18" s="3" customFormat="1" x14ac:dyDescent="0.2">
      <c r="C6" t="s">
        <v>599</v>
      </c>
      <c r="E6" s="613">
        <v>450000</v>
      </c>
      <c r="F6" s="614">
        <f>+E6/$E$13</f>
        <v>0.703125</v>
      </c>
      <c r="H6" s="188"/>
      <c r="Q6" s="188"/>
    </row>
    <row r="7" spans="1:18" s="3" customFormat="1" x14ac:dyDescent="0.2">
      <c r="C7" t="s">
        <v>600</v>
      </c>
      <c r="E7" s="613">
        <v>25000</v>
      </c>
      <c r="F7" s="614">
        <f>+E7/$E$13</f>
        <v>3.90625E-2</v>
      </c>
      <c r="H7" s="188"/>
      <c r="Q7" s="188"/>
    </row>
    <row r="8" spans="1:18" s="3" customFormat="1" x14ac:dyDescent="0.2">
      <c r="C8" t="s">
        <v>601</v>
      </c>
      <c r="E8" s="613">
        <v>150000</v>
      </c>
      <c r="F8" s="614">
        <f>+E8/$E$13</f>
        <v>0.234375</v>
      </c>
      <c r="H8" s="188"/>
      <c r="Q8" s="188"/>
    </row>
    <row r="9" spans="1:18" s="3" customFormat="1" x14ac:dyDescent="0.2">
      <c r="B9" s="3" t="s">
        <v>604</v>
      </c>
      <c r="C9" s="608"/>
      <c r="D9" s="608"/>
      <c r="E9" s="609">
        <f>SUM(E6:E8)</f>
        <v>625000</v>
      </c>
      <c r="F9" s="615">
        <f>+E9/$E$13</f>
        <v>0.9765625</v>
      </c>
      <c r="H9" s="188"/>
      <c r="Q9" s="188"/>
    </row>
    <row r="10" spans="1:18" s="3" customFormat="1" x14ac:dyDescent="0.2">
      <c r="E10" s="611"/>
      <c r="F10" s="612"/>
      <c r="H10" s="188"/>
      <c r="Q10" s="188"/>
    </row>
    <row r="11" spans="1:18" s="3" customFormat="1" x14ac:dyDescent="0.2">
      <c r="B11" s="3" t="s">
        <v>602</v>
      </c>
      <c r="E11" s="613">
        <v>15000</v>
      </c>
      <c r="F11" s="614">
        <f>+E11/$E$13</f>
        <v>2.34375E-2</v>
      </c>
      <c r="H11" s="188"/>
      <c r="Q11" s="188"/>
    </row>
    <row r="12" spans="1:18" s="3" customFormat="1" x14ac:dyDescent="0.2">
      <c r="E12" s="611"/>
      <c r="F12" s="612"/>
      <c r="H12" s="188"/>
      <c r="Q12" s="188"/>
    </row>
    <row r="13" spans="1:18" s="3" customFormat="1" x14ac:dyDescent="0.2">
      <c r="B13" s="3" t="s">
        <v>603</v>
      </c>
      <c r="E13" s="611">
        <f>+E9+E11</f>
        <v>640000</v>
      </c>
      <c r="F13" s="612"/>
      <c r="H13" s="188"/>
      <c r="Q13" s="188"/>
    </row>
    <row r="14" spans="1:18" s="3" customFormat="1" x14ac:dyDescent="0.2">
      <c r="E14" s="611"/>
      <c r="F14" s="612"/>
      <c r="H14" s="188"/>
      <c r="Q14" s="188"/>
    </row>
    <row r="15" spans="1:18" s="3" customFormat="1" x14ac:dyDescent="0.2">
      <c r="A15" s="3" t="s">
        <v>597</v>
      </c>
      <c r="E15" s="611"/>
      <c r="F15" s="612"/>
      <c r="H15" s="188"/>
      <c r="Q15" s="188"/>
    </row>
    <row r="16" spans="1:18" x14ac:dyDescent="0.2">
      <c r="B16" s="3" t="s">
        <v>0</v>
      </c>
    </row>
    <row r="17" spans="2:14" x14ac:dyDescent="0.2">
      <c r="C17" t="s">
        <v>1</v>
      </c>
      <c r="E17" s="101">
        <f>'R3G2 - Haejin'!K55</f>
        <v>145041.52666666667</v>
      </c>
      <c r="F17" s="503">
        <f t="shared" ref="F17:F24" si="0">E17/$E$44</f>
        <v>0.20822119871726616</v>
      </c>
      <c r="H17" s="101">
        <f>[1]overview!$C$7+[2]BofA!$X$28</f>
        <v>35444.764482201121</v>
      </c>
      <c r="I17" s="340">
        <f>E17-H17</f>
        <v>109596.76218446555</v>
      </c>
    </row>
    <row r="18" spans="2:14" x14ac:dyDescent="0.2">
      <c r="C18" t="s">
        <v>2</v>
      </c>
      <c r="E18" s="101">
        <f>'G.R.A.C.E.'!H64</f>
        <v>113679.7375</v>
      </c>
      <c r="F18" s="503">
        <f t="shared" si="0"/>
        <v>0.16319830434847524</v>
      </c>
      <c r="H18" s="101">
        <f>[1]overview!$C$8+[2]BofA!$Y$28</f>
        <v>20678.598017798875</v>
      </c>
      <c r="I18" s="340">
        <f t="shared" ref="I18:I23" si="1">E18-H18</f>
        <v>93001.139482201135</v>
      </c>
    </row>
    <row r="19" spans="2:14" x14ac:dyDescent="0.2">
      <c r="C19" t="s">
        <v>3</v>
      </c>
      <c r="E19" s="101">
        <f>'Legacy Education - Haejin'!P38</f>
        <v>17100.335999999999</v>
      </c>
      <c r="F19" s="503">
        <f t="shared" si="0"/>
        <v>2.4549193201551751E-2</v>
      </c>
      <c r="H19" s="101">
        <f>[1]overview!$C$9</f>
        <v>6071.1749999999993</v>
      </c>
      <c r="I19" s="340">
        <f t="shared" si="1"/>
        <v>11029.161</v>
      </c>
    </row>
    <row r="20" spans="2:14" x14ac:dyDescent="0.2">
      <c r="C20" t="s">
        <v>615</v>
      </c>
      <c r="E20" s="101">
        <f>+'Sahasee Embers'!I35</f>
        <v>59883.65625</v>
      </c>
      <c r="F20" s="503">
        <f t="shared" si="0"/>
        <v>8.5968804758956907E-2</v>
      </c>
      <c r="H20" s="101">
        <f>[1]overview!$C$6</f>
        <v>28628.424999999999</v>
      </c>
      <c r="I20" s="340">
        <f t="shared" si="1"/>
        <v>31255.231250000001</v>
      </c>
    </row>
    <row r="21" spans="2:14" x14ac:dyDescent="0.2">
      <c r="C21" t="s">
        <v>594</v>
      </c>
      <c r="E21" s="104">
        <v>75000</v>
      </c>
      <c r="F21" s="503">
        <f t="shared" si="0"/>
        <v>0.10766978438998985</v>
      </c>
      <c r="H21" s="101">
        <v>0</v>
      </c>
      <c r="I21" s="340">
        <f t="shared" si="1"/>
        <v>75000</v>
      </c>
    </row>
    <row r="22" spans="2:14" x14ac:dyDescent="0.2">
      <c r="C22" t="s">
        <v>5</v>
      </c>
      <c r="E22" s="101">
        <f>'HQ staff'!Q11</f>
        <v>150528</v>
      </c>
      <c r="F22" s="503">
        <f t="shared" si="0"/>
        <v>0.21609756406208522</v>
      </c>
      <c r="I22" s="340">
        <f t="shared" si="1"/>
        <v>150528</v>
      </c>
    </row>
    <row r="23" spans="2:14" x14ac:dyDescent="0.2">
      <c r="C23" t="s">
        <v>6</v>
      </c>
      <c r="E23" s="101">
        <f>Communications!Q39</f>
        <v>2688</v>
      </c>
      <c r="F23" s="503">
        <f t="shared" si="0"/>
        <v>3.858885072537236E-3</v>
      </c>
      <c r="I23" s="340">
        <f t="shared" si="1"/>
        <v>2688</v>
      </c>
    </row>
    <row r="24" spans="2:14" x14ac:dyDescent="0.2">
      <c r="B24" s="3" t="s">
        <v>9</v>
      </c>
      <c r="C24" s="107"/>
      <c r="D24" s="107"/>
      <c r="E24" s="189">
        <f>SUM(E17:E23)</f>
        <v>563921.25641666667</v>
      </c>
      <c r="F24" s="504">
        <f t="shared" si="0"/>
        <v>0.80956373455086239</v>
      </c>
      <c r="G24" s="3"/>
      <c r="H24" s="189"/>
      <c r="I24" s="107"/>
    </row>
    <row r="25" spans="2:14" x14ac:dyDescent="0.2">
      <c r="F25" s="503"/>
    </row>
    <row r="26" spans="2:14" x14ac:dyDescent="0.2">
      <c r="B26" s="3" t="s">
        <v>11</v>
      </c>
      <c r="F26" s="503"/>
      <c r="I26" s="616"/>
      <c r="N26" s="616"/>
    </row>
    <row r="27" spans="2:14" x14ac:dyDescent="0.2">
      <c r="C27" t="s">
        <v>5</v>
      </c>
      <c r="E27" s="101">
        <f>'HQ staff'!R11</f>
        <v>77619</v>
      </c>
      <c r="F27" s="503">
        <f>E27/$E$44</f>
        <v>0.11142961326088829</v>
      </c>
    </row>
    <row r="28" spans="2:14" x14ac:dyDescent="0.2">
      <c r="C28" t="s">
        <v>12</v>
      </c>
      <c r="E28" s="101">
        <f>Communications!Q13</f>
        <v>5868</v>
      </c>
      <c r="F28" s="503">
        <f>E28/$E$44</f>
        <v>8.4240839306728051E-3</v>
      </c>
    </row>
    <row r="29" spans="2:14" x14ac:dyDescent="0.2">
      <c r="C29" t="s">
        <v>13</v>
      </c>
      <c r="E29" s="101">
        <f>Communications!Q25</f>
        <v>7400</v>
      </c>
      <c r="F29" s="503">
        <f>E29/$E$44</f>
        <v>1.0623418726478998E-2</v>
      </c>
    </row>
    <row r="30" spans="2:14" x14ac:dyDescent="0.2">
      <c r="C30" t="s">
        <v>20</v>
      </c>
      <c r="E30" s="101">
        <f>Communications!Q31</f>
        <v>1345</v>
      </c>
      <c r="F30" s="503">
        <f>E30/$E$44</f>
        <v>1.9308781333938179E-3</v>
      </c>
    </row>
    <row r="31" spans="2:14" x14ac:dyDescent="0.2">
      <c r="B31" s="3" t="s">
        <v>14</v>
      </c>
      <c r="C31" s="107"/>
      <c r="D31" s="107"/>
      <c r="E31" s="189">
        <f>SUM(E27:E30)</f>
        <v>92232</v>
      </c>
      <c r="F31" s="504">
        <f>E31/$E$44</f>
        <v>0.13240799405143391</v>
      </c>
      <c r="G31" s="3"/>
    </row>
    <row r="32" spans="2:14" x14ac:dyDescent="0.2">
      <c r="F32" s="503"/>
    </row>
    <row r="33" spans="1:7" x14ac:dyDescent="0.2">
      <c r="B33" s="3" t="s">
        <v>15</v>
      </c>
      <c r="F33" s="503"/>
    </row>
    <row r="34" spans="1:7" x14ac:dyDescent="0.2">
      <c r="C34" t="s">
        <v>5</v>
      </c>
      <c r="E34" s="101">
        <f>'HQ staff'!S11</f>
        <v>12771</v>
      </c>
      <c r="F34" s="503">
        <f t="shared" ref="F34:F42" si="2">E34/$E$44</f>
        <v>1.8334010885927472E-2</v>
      </c>
    </row>
    <row r="35" spans="1:7" x14ac:dyDescent="0.2">
      <c r="C35" t="s">
        <v>264</v>
      </c>
      <c r="E35" s="101">
        <f>Admin!C11</f>
        <v>0</v>
      </c>
      <c r="F35" s="503">
        <f t="shared" si="2"/>
        <v>0</v>
      </c>
    </row>
    <row r="36" spans="1:7" x14ac:dyDescent="0.2">
      <c r="C36" t="s">
        <v>16</v>
      </c>
      <c r="E36" s="101">
        <f>Admin!C2</f>
        <v>15000</v>
      </c>
      <c r="F36" s="503">
        <f t="shared" si="2"/>
        <v>2.1533956877997969E-2</v>
      </c>
    </row>
    <row r="37" spans="1:7" x14ac:dyDescent="0.2">
      <c r="C37" t="s">
        <v>17</v>
      </c>
      <c r="E37" s="101">
        <f>Admin!C3</f>
        <v>4000</v>
      </c>
      <c r="F37" s="503">
        <f t="shared" si="2"/>
        <v>5.7423885007994585E-3</v>
      </c>
    </row>
    <row r="38" spans="1:7" x14ac:dyDescent="0.2">
      <c r="C38" t="s">
        <v>18</v>
      </c>
      <c r="E38" s="101">
        <f>Admin!C4</f>
        <v>3000</v>
      </c>
      <c r="F38" s="503">
        <f t="shared" si="2"/>
        <v>4.3067913755995939E-3</v>
      </c>
    </row>
    <row r="39" spans="1:7" x14ac:dyDescent="0.2">
      <c r="C39" s="127" t="s">
        <v>189</v>
      </c>
      <c r="E39" s="101">
        <f>Admin!C5</f>
        <v>2000</v>
      </c>
      <c r="F39" s="503">
        <f t="shared" si="2"/>
        <v>2.8711942503997293E-3</v>
      </c>
    </row>
    <row r="40" spans="1:7" x14ac:dyDescent="0.2">
      <c r="C40" t="s">
        <v>19</v>
      </c>
      <c r="E40" s="101">
        <f>Admin!C6+Admin!C7</f>
        <v>2500</v>
      </c>
      <c r="F40" s="503">
        <f t="shared" si="2"/>
        <v>3.5889928129996616E-3</v>
      </c>
    </row>
    <row r="41" spans="1:7" x14ac:dyDescent="0.2">
      <c r="C41" t="s">
        <v>20</v>
      </c>
      <c r="E41" s="101">
        <f>SUM(Admin!C8:C11)</f>
        <v>1150</v>
      </c>
      <c r="F41" s="503">
        <f t="shared" si="2"/>
        <v>1.6509366939798443E-3</v>
      </c>
    </row>
    <row r="42" spans="1:7" x14ac:dyDescent="0.2">
      <c r="B42" s="3" t="s">
        <v>21</v>
      </c>
      <c r="C42" s="107"/>
      <c r="D42" s="107"/>
      <c r="E42" s="189">
        <f>SUM(E34:E41)</f>
        <v>40421</v>
      </c>
      <c r="F42" s="504">
        <f t="shared" si="2"/>
        <v>5.8028271397703723E-2</v>
      </c>
      <c r="G42" s="3"/>
    </row>
    <row r="43" spans="1:7" x14ac:dyDescent="0.2">
      <c r="F43" s="503"/>
    </row>
    <row r="44" spans="1:7" x14ac:dyDescent="0.2">
      <c r="B44" s="3" t="s">
        <v>595</v>
      </c>
      <c r="E44" s="188">
        <f>E42+E31+E24</f>
        <v>696574.25641666667</v>
      </c>
      <c r="F44" s="503">
        <f>E44/$E$44</f>
        <v>1</v>
      </c>
    </row>
    <row r="46" spans="1:7" x14ac:dyDescent="0.2">
      <c r="A46" s="3" t="s">
        <v>605</v>
      </c>
      <c r="E46" s="188">
        <f>+E13-E44</f>
        <v>-56574.256416666671</v>
      </c>
    </row>
    <row r="48" spans="1:7" x14ac:dyDescent="0.2">
      <c r="A48" s="3" t="s">
        <v>606</v>
      </c>
      <c r="E48" s="188">
        <f>560000+E46</f>
        <v>503425.74358333333</v>
      </c>
    </row>
    <row r="51" spans="1:5" x14ac:dyDescent="0.2">
      <c r="A51" s="3" t="s">
        <v>616</v>
      </c>
      <c r="E51" s="101">
        <f>E44-SUM(E17:E21)</f>
        <v>285869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F2745-C1BE-224C-AFD2-650A38C7B769}">
  <sheetPr>
    <pageSetUpPr fitToPage="1"/>
  </sheetPr>
  <dimension ref="A1:J239"/>
  <sheetViews>
    <sheetView topLeftCell="A25" zoomScale="150" zoomScaleNormal="150" workbookViewId="0">
      <selection activeCell="H17" sqref="H17"/>
    </sheetView>
  </sheetViews>
  <sheetFormatPr baseColWidth="10" defaultColWidth="14.5" defaultRowHeight="15" customHeight="1" x14ac:dyDescent="0.2"/>
  <cols>
    <col min="1" max="1" width="10.83203125" style="501" customWidth="1"/>
    <col min="2" max="3" width="40.83203125" style="502" customWidth="1"/>
    <col min="4" max="4" width="15.83203125" style="452" customWidth="1"/>
    <col min="5" max="5" width="15.83203125" style="502" customWidth="1"/>
    <col min="6" max="6" width="15.83203125" style="452" customWidth="1"/>
    <col min="7" max="9" width="15.83203125" style="502" customWidth="1"/>
    <col min="10" max="10" width="12.6640625" style="430" customWidth="1"/>
    <col min="11" max="16384" width="14.5" style="120"/>
  </cols>
  <sheetData>
    <row r="1" spans="1:10" ht="47.25" customHeight="1" thickBot="1" x14ac:dyDescent="0.25">
      <c r="A1" s="814" t="s">
        <v>442</v>
      </c>
      <c r="B1" s="815"/>
      <c r="C1" s="815"/>
      <c r="D1" s="815"/>
      <c r="E1" s="815"/>
      <c r="F1" s="815"/>
      <c r="G1" s="815"/>
      <c r="H1" s="815"/>
      <c r="I1" s="816"/>
    </row>
    <row r="2" spans="1:10" s="434" customFormat="1" ht="15" customHeight="1" x14ac:dyDescent="0.2">
      <c r="A2" s="431"/>
      <c r="B2" s="736" t="s">
        <v>443</v>
      </c>
      <c r="C2" s="736"/>
      <c r="D2" s="736"/>
      <c r="E2" s="736"/>
      <c r="F2" s="736"/>
      <c r="G2" s="736"/>
      <c r="H2" s="736"/>
      <c r="I2" s="432"/>
      <c r="J2" s="433"/>
    </row>
    <row r="3" spans="1:10" s="434" customFormat="1" ht="15.75" customHeight="1" x14ac:dyDescent="0.2">
      <c r="A3" s="435"/>
      <c r="B3" s="738" t="s">
        <v>444</v>
      </c>
      <c r="C3" s="738"/>
      <c r="D3" s="738"/>
      <c r="E3" s="738"/>
      <c r="F3" s="738"/>
      <c r="G3" s="738"/>
      <c r="H3" s="738"/>
      <c r="I3" s="436"/>
      <c r="J3" s="433"/>
    </row>
    <row r="4" spans="1:10" s="434" customFormat="1" ht="31.5" customHeight="1" x14ac:dyDescent="0.2">
      <c r="A4" s="435"/>
      <c r="B4" s="737" t="s">
        <v>445</v>
      </c>
      <c r="C4" s="738"/>
      <c r="D4" s="738"/>
      <c r="E4" s="738"/>
      <c r="F4" s="738"/>
      <c r="G4" s="738"/>
      <c r="H4" s="738"/>
      <c r="I4" s="437"/>
      <c r="J4" s="433"/>
    </row>
    <row r="5" spans="1:10" s="434" customFormat="1" ht="15.75" customHeight="1" x14ac:dyDescent="0.2">
      <c r="A5" s="435"/>
      <c r="B5" s="740" t="s">
        <v>446</v>
      </c>
      <c r="C5" s="740"/>
      <c r="D5" s="740"/>
      <c r="E5" s="740"/>
      <c r="F5" s="740"/>
      <c r="G5" s="740"/>
      <c r="H5" s="740"/>
      <c r="I5" s="436"/>
      <c r="J5" s="433"/>
    </row>
    <row r="6" spans="1:10" ht="15.75" customHeight="1" x14ac:dyDescent="0.2">
      <c r="A6" s="726" t="s">
        <v>32</v>
      </c>
      <c r="B6" s="710" t="s">
        <v>33</v>
      </c>
      <c r="C6" s="712" t="s">
        <v>34</v>
      </c>
      <c r="D6" s="730" t="s">
        <v>447</v>
      </c>
      <c r="E6" s="727"/>
      <c r="F6" s="726" t="s">
        <v>36</v>
      </c>
      <c r="G6" s="727"/>
      <c r="H6" s="726" t="s">
        <v>448</v>
      </c>
      <c r="I6" s="727"/>
    </row>
    <row r="7" spans="1:10" ht="15.75" customHeight="1" x14ac:dyDescent="0.2">
      <c r="A7" s="817"/>
      <c r="B7" s="818"/>
      <c r="C7" s="819"/>
      <c r="D7" s="720"/>
      <c r="E7" s="721"/>
      <c r="F7" s="817"/>
      <c r="G7" s="721"/>
      <c r="H7" s="817"/>
      <c r="I7" s="721"/>
    </row>
    <row r="8" spans="1:10" ht="15.75" customHeight="1" x14ac:dyDescent="0.2">
      <c r="A8" s="438"/>
      <c r="B8" s="439"/>
      <c r="C8" s="440"/>
      <c r="D8" s="441"/>
      <c r="E8" s="441"/>
      <c r="F8" s="442"/>
      <c r="G8" s="443"/>
      <c r="H8" s="441"/>
      <c r="I8" s="444"/>
    </row>
    <row r="9" spans="1:10" ht="15.75" customHeight="1" x14ac:dyDescent="0.2">
      <c r="A9" s="445"/>
      <c r="B9" s="808" t="s">
        <v>449</v>
      </c>
      <c r="C9" s="699"/>
      <c r="D9" s="446" t="s">
        <v>39</v>
      </c>
      <c r="E9" s="447" t="s">
        <v>40</v>
      </c>
      <c r="F9" s="446" t="s">
        <v>39</v>
      </c>
      <c r="G9" s="447" t="s">
        <v>40</v>
      </c>
      <c r="H9" s="446" t="s">
        <v>39</v>
      </c>
      <c r="I9" s="448" t="s">
        <v>40</v>
      </c>
    </row>
    <row r="10" spans="1:10" ht="15.75" customHeight="1" x14ac:dyDescent="0.2">
      <c r="A10" s="449"/>
      <c r="B10" s="450" t="s">
        <v>450</v>
      </c>
      <c r="C10" s="451"/>
      <c r="D10" s="452">
        <v>2623126</v>
      </c>
      <c r="E10" s="453">
        <f>D10/75</f>
        <v>34975.013333333336</v>
      </c>
      <c r="F10" s="454">
        <f>D10*1.17</f>
        <v>3069057.42</v>
      </c>
      <c r="G10" s="453">
        <f>F10/75</f>
        <v>40920.765599999999</v>
      </c>
      <c r="H10" s="452">
        <v>3040800</v>
      </c>
      <c r="I10" s="455">
        <f>H10/75</f>
        <v>40544</v>
      </c>
    </row>
    <row r="11" spans="1:10" ht="15.75" customHeight="1" x14ac:dyDescent="0.2">
      <c r="A11" s="449"/>
      <c r="B11" s="456" t="s">
        <v>451</v>
      </c>
      <c r="C11" s="457" t="s">
        <v>452</v>
      </c>
      <c r="D11" s="452">
        <v>99225</v>
      </c>
      <c r="E11" s="453">
        <f>D11/75</f>
        <v>1323</v>
      </c>
      <c r="F11" s="454">
        <f>D11*1.17</f>
        <v>116093.25</v>
      </c>
      <c r="G11" s="453">
        <f>F11/75</f>
        <v>1547.91</v>
      </c>
      <c r="H11" s="454">
        <v>234375</v>
      </c>
      <c r="I11" s="455">
        <f>H11/75</f>
        <v>3125</v>
      </c>
    </row>
    <row r="12" spans="1:10" ht="15.75" customHeight="1" x14ac:dyDescent="0.2">
      <c r="A12" s="449"/>
      <c r="B12" s="458" t="s">
        <v>129</v>
      </c>
      <c r="C12" s="457"/>
      <c r="E12" s="459"/>
      <c r="F12" s="454"/>
      <c r="G12" s="459"/>
      <c r="H12" s="454">
        <v>45000</v>
      </c>
      <c r="I12" s="455">
        <f>H12/75</f>
        <v>600</v>
      </c>
    </row>
    <row r="13" spans="1:10" ht="15.75" customHeight="1" x14ac:dyDescent="0.2">
      <c r="A13" s="460"/>
      <c r="B13" s="820" t="s">
        <v>453</v>
      </c>
      <c r="C13" s="701"/>
      <c r="D13" s="461">
        <f t="shared" ref="D13:I13" si="0">SUM(D10:D12)</f>
        <v>2722351</v>
      </c>
      <c r="E13" s="462">
        <f t="shared" si="0"/>
        <v>36298.013333333336</v>
      </c>
      <c r="F13" s="461">
        <f t="shared" si="0"/>
        <v>3185150.67</v>
      </c>
      <c r="G13" s="462">
        <f t="shared" si="0"/>
        <v>42468.675600000002</v>
      </c>
      <c r="H13" s="461">
        <f t="shared" si="0"/>
        <v>3320175</v>
      </c>
      <c r="I13" s="463">
        <f t="shared" si="0"/>
        <v>44269</v>
      </c>
    </row>
    <row r="14" spans="1:10" ht="15.75" customHeight="1" x14ac:dyDescent="0.2">
      <c r="A14" s="449"/>
      <c r="B14" s="464"/>
      <c r="C14" s="451"/>
      <c r="E14" s="459"/>
      <c r="F14" s="454"/>
      <c r="G14" s="459"/>
      <c r="H14" s="465"/>
      <c r="I14" s="455"/>
    </row>
    <row r="15" spans="1:10" ht="15.75" customHeight="1" x14ac:dyDescent="0.2">
      <c r="A15" s="466"/>
      <c r="B15" s="808" t="s">
        <v>454</v>
      </c>
      <c r="C15" s="701"/>
      <c r="D15" s="446" t="s">
        <v>39</v>
      </c>
      <c r="E15" s="447" t="s">
        <v>40</v>
      </c>
      <c r="F15" s="446" t="s">
        <v>39</v>
      </c>
      <c r="G15" s="447" t="s">
        <v>40</v>
      </c>
      <c r="H15" s="446" t="s">
        <v>39</v>
      </c>
      <c r="I15" s="448" t="s">
        <v>40</v>
      </c>
    </row>
    <row r="16" spans="1:10" ht="31.5" customHeight="1" x14ac:dyDescent="0.2">
      <c r="A16" s="449"/>
      <c r="B16" s="467" t="s">
        <v>455</v>
      </c>
      <c r="C16" s="25" t="s">
        <v>456</v>
      </c>
      <c r="D16" s="452">
        <v>66554</v>
      </c>
      <c r="E16" s="453">
        <f>D16/75</f>
        <v>887.38666666666666</v>
      </c>
      <c r="F16" s="454">
        <f>D16*1.17</f>
        <v>77868.179999999993</v>
      </c>
      <c r="G16" s="453">
        <f>F16/75</f>
        <v>1038.2423999999999</v>
      </c>
      <c r="H16" s="454">
        <v>82500</v>
      </c>
      <c r="I16" s="455">
        <f>H16/75</f>
        <v>1100</v>
      </c>
    </row>
    <row r="17" spans="1:9" ht="47.25" customHeight="1" x14ac:dyDescent="0.2">
      <c r="A17" s="449"/>
      <c r="B17" s="456" t="s">
        <v>379</v>
      </c>
      <c r="C17" s="49" t="s">
        <v>457</v>
      </c>
      <c r="D17" s="452">
        <v>187692</v>
      </c>
      <c r="E17" s="453">
        <f>D17/75</f>
        <v>2502.56</v>
      </c>
      <c r="F17" s="454">
        <f>D17*1.17</f>
        <v>219599.63999999998</v>
      </c>
      <c r="G17" s="453">
        <f>F17/75</f>
        <v>2927.9951999999998</v>
      </c>
      <c r="H17" s="454">
        <v>220000</v>
      </c>
      <c r="I17" s="455">
        <f>H17/75</f>
        <v>2933.3333333333335</v>
      </c>
    </row>
    <row r="18" spans="1:9" ht="15.75" customHeight="1" x14ac:dyDescent="0.2">
      <c r="A18" s="449"/>
      <c r="B18" s="456" t="s">
        <v>458</v>
      </c>
      <c r="C18" s="25" t="s">
        <v>459</v>
      </c>
      <c r="D18" s="452">
        <v>124077</v>
      </c>
      <c r="E18" s="453">
        <f>D18/75</f>
        <v>1654.36</v>
      </c>
      <c r="F18" s="454">
        <f>D18*1.17</f>
        <v>145170.09</v>
      </c>
      <c r="G18" s="453">
        <f>F18/75</f>
        <v>1935.6012000000001</v>
      </c>
      <c r="H18" s="454">
        <v>75000</v>
      </c>
      <c r="I18" s="455">
        <f>H18/75</f>
        <v>1000</v>
      </c>
    </row>
    <row r="19" spans="1:9" ht="47.25" customHeight="1" x14ac:dyDescent="0.2">
      <c r="A19" s="468"/>
      <c r="B19" s="469" t="s">
        <v>460</v>
      </c>
      <c r="C19" s="470" t="s">
        <v>461</v>
      </c>
      <c r="D19" s="452">
        <v>20000</v>
      </c>
      <c r="E19" s="453">
        <f>D19/75</f>
        <v>266.66666666666669</v>
      </c>
      <c r="F19" s="454">
        <f>D19*1.17</f>
        <v>23400</v>
      </c>
      <c r="G19" s="453">
        <f>F19/75</f>
        <v>312</v>
      </c>
      <c r="H19" s="454">
        <v>25000</v>
      </c>
      <c r="I19" s="455">
        <f>H19/75</f>
        <v>333.33333333333331</v>
      </c>
    </row>
    <row r="20" spans="1:9" ht="15.75" customHeight="1" x14ac:dyDescent="0.2">
      <c r="A20" s="471"/>
      <c r="B20" s="809" t="s">
        <v>462</v>
      </c>
      <c r="C20" s="810"/>
      <c r="D20" s="461">
        <f t="shared" ref="D20:I20" si="1">SUM(D16:D19)</f>
        <v>398323</v>
      </c>
      <c r="E20" s="462">
        <f t="shared" si="1"/>
        <v>5310.9733333333334</v>
      </c>
      <c r="F20" s="461">
        <f t="shared" si="1"/>
        <v>466037.90999999992</v>
      </c>
      <c r="G20" s="462">
        <f t="shared" si="1"/>
        <v>6213.8387999999995</v>
      </c>
      <c r="H20" s="461">
        <f t="shared" si="1"/>
        <v>402500</v>
      </c>
      <c r="I20" s="463">
        <f t="shared" si="1"/>
        <v>5366.666666666667</v>
      </c>
    </row>
    <row r="21" spans="1:9" ht="15.75" customHeight="1" x14ac:dyDescent="0.2">
      <c r="A21" s="472"/>
      <c r="B21" s="464"/>
      <c r="C21" s="451"/>
      <c r="E21" s="459"/>
      <c r="F21" s="454"/>
      <c r="G21" s="459"/>
      <c r="H21" s="465"/>
      <c r="I21" s="455"/>
    </row>
    <row r="22" spans="1:9" ht="15.75" customHeight="1" x14ac:dyDescent="0.2">
      <c r="A22" s="466"/>
      <c r="B22" s="808" t="s">
        <v>463</v>
      </c>
      <c r="C22" s="701"/>
      <c r="D22" s="446" t="s">
        <v>39</v>
      </c>
      <c r="E22" s="447" t="s">
        <v>40</v>
      </c>
      <c r="F22" s="446" t="s">
        <v>39</v>
      </c>
      <c r="G22" s="447" t="s">
        <v>40</v>
      </c>
      <c r="H22" s="446" t="s">
        <v>39</v>
      </c>
      <c r="I22" s="448" t="s">
        <v>40</v>
      </c>
    </row>
    <row r="23" spans="1:9" ht="15.75" customHeight="1" x14ac:dyDescent="0.2">
      <c r="A23" s="473"/>
      <c r="B23" s="450" t="s">
        <v>464</v>
      </c>
      <c r="C23" s="25"/>
      <c r="D23" s="452">
        <v>614654</v>
      </c>
      <c r="E23" s="453">
        <f>D23/75</f>
        <v>8195.3866666666672</v>
      </c>
      <c r="F23" s="454">
        <f>D23*1.17</f>
        <v>719145.17999999993</v>
      </c>
      <c r="G23" s="453">
        <f t="shared" ref="G23:G28" si="2">F23/75</f>
        <v>9588.6023999999998</v>
      </c>
      <c r="H23" s="454">
        <v>37500</v>
      </c>
      <c r="I23" s="455">
        <f t="shared" ref="I23:I28" si="3">H23/75</f>
        <v>500</v>
      </c>
    </row>
    <row r="24" spans="1:9" ht="31.5" customHeight="1" x14ac:dyDescent="0.2">
      <c r="A24" s="449"/>
      <c r="B24" s="456" t="s">
        <v>465</v>
      </c>
      <c r="C24" s="49" t="s">
        <v>466</v>
      </c>
      <c r="D24" s="452">
        <v>230916</v>
      </c>
      <c r="E24" s="453">
        <f>D24/75</f>
        <v>3078.88</v>
      </c>
      <c r="F24" s="454">
        <f>D24*1.17</f>
        <v>270171.71999999997</v>
      </c>
      <c r="G24" s="453">
        <f t="shared" si="2"/>
        <v>3602.2895999999996</v>
      </c>
      <c r="H24" s="454">
        <v>300000</v>
      </c>
      <c r="I24" s="455">
        <f t="shared" si="3"/>
        <v>4000</v>
      </c>
    </row>
    <row r="25" spans="1:9" ht="47.25" customHeight="1" x14ac:dyDescent="0.2">
      <c r="A25" s="449"/>
      <c r="B25" s="456" t="s">
        <v>467</v>
      </c>
      <c r="C25" s="474" t="s">
        <v>468</v>
      </c>
      <c r="D25" s="452">
        <v>57410</v>
      </c>
      <c r="E25" s="453">
        <f>D25/75</f>
        <v>765.4666666666667</v>
      </c>
      <c r="F25" s="454">
        <f>D25*1.17</f>
        <v>67169.7</v>
      </c>
      <c r="G25" s="453">
        <f t="shared" si="2"/>
        <v>895.596</v>
      </c>
      <c r="H25" s="454">
        <v>75000</v>
      </c>
      <c r="I25" s="455">
        <f t="shared" si="3"/>
        <v>1000</v>
      </c>
    </row>
    <row r="26" spans="1:9" ht="15.75" customHeight="1" x14ac:dyDescent="0.2">
      <c r="A26" s="449"/>
      <c r="B26" s="456" t="s">
        <v>469</v>
      </c>
      <c r="C26" s="457"/>
      <c r="E26" s="459"/>
      <c r="F26" s="454">
        <v>379800</v>
      </c>
      <c r="G26" s="453">
        <f t="shared" si="2"/>
        <v>5064</v>
      </c>
      <c r="H26" s="454">
        <v>150000</v>
      </c>
      <c r="I26" s="455">
        <f t="shared" si="3"/>
        <v>2000</v>
      </c>
    </row>
    <row r="27" spans="1:9" ht="15.75" customHeight="1" x14ac:dyDescent="0.2">
      <c r="A27" s="449"/>
      <c r="B27" s="456" t="s">
        <v>470</v>
      </c>
      <c r="C27" s="25" t="s">
        <v>471</v>
      </c>
      <c r="D27" s="452">
        <v>4425</v>
      </c>
      <c r="E27" s="453">
        <f>D27/75</f>
        <v>59</v>
      </c>
      <c r="F27" s="454">
        <f>D27*1.17</f>
        <v>5177.25</v>
      </c>
      <c r="G27" s="453">
        <f t="shared" si="2"/>
        <v>69.03</v>
      </c>
      <c r="H27" s="454">
        <v>7500</v>
      </c>
      <c r="I27" s="455">
        <f t="shared" si="3"/>
        <v>100</v>
      </c>
    </row>
    <row r="28" spans="1:9" ht="15.75" customHeight="1" x14ac:dyDescent="0.2">
      <c r="A28" s="449"/>
      <c r="B28" s="458" t="s">
        <v>472</v>
      </c>
      <c r="C28" s="25" t="s">
        <v>473</v>
      </c>
      <c r="D28" s="452">
        <v>15600</v>
      </c>
      <c r="E28" s="453">
        <f>D28/75</f>
        <v>208</v>
      </c>
      <c r="F28" s="454">
        <f>D28*1.17</f>
        <v>18252</v>
      </c>
      <c r="G28" s="453">
        <f t="shared" si="2"/>
        <v>243.36</v>
      </c>
      <c r="H28" s="454">
        <v>25000</v>
      </c>
      <c r="I28" s="455">
        <f t="shared" si="3"/>
        <v>333.33333333333331</v>
      </c>
    </row>
    <row r="29" spans="1:9" ht="15.75" customHeight="1" x14ac:dyDescent="0.2">
      <c r="A29" s="475"/>
      <c r="B29" s="807" t="s">
        <v>474</v>
      </c>
      <c r="C29" s="701"/>
      <c r="D29" s="461">
        <f t="shared" ref="D29:I29" si="4">SUM(D23:D28)</f>
        <v>923005</v>
      </c>
      <c r="E29" s="462">
        <f t="shared" si="4"/>
        <v>12306.733333333334</v>
      </c>
      <c r="F29" s="461">
        <f t="shared" si="4"/>
        <v>1459715.8499999999</v>
      </c>
      <c r="G29" s="462">
        <f t="shared" si="4"/>
        <v>19462.877999999997</v>
      </c>
      <c r="H29" s="461">
        <f t="shared" si="4"/>
        <v>595000</v>
      </c>
      <c r="I29" s="463">
        <f t="shared" si="4"/>
        <v>7933.333333333333</v>
      </c>
    </row>
    <row r="30" spans="1:9" ht="15.75" customHeight="1" x14ac:dyDescent="0.2">
      <c r="A30" s="449"/>
      <c r="B30" s="464"/>
      <c r="C30" s="451"/>
      <c r="E30" s="459"/>
      <c r="F30" s="454"/>
      <c r="G30" s="459"/>
      <c r="H30" s="465"/>
      <c r="I30" s="476"/>
    </row>
    <row r="31" spans="1:9" ht="15.75" customHeight="1" x14ac:dyDescent="0.2">
      <c r="A31" s="466"/>
      <c r="B31" s="808" t="s">
        <v>475</v>
      </c>
      <c r="C31" s="701"/>
      <c r="D31" s="446" t="s">
        <v>39</v>
      </c>
      <c r="E31" s="447" t="s">
        <v>40</v>
      </c>
      <c r="F31" s="446" t="s">
        <v>39</v>
      </c>
      <c r="G31" s="447" t="s">
        <v>40</v>
      </c>
      <c r="H31" s="446" t="s">
        <v>39</v>
      </c>
      <c r="I31" s="448" t="s">
        <v>40</v>
      </c>
    </row>
    <row r="32" spans="1:9" ht="15.75" customHeight="1" x14ac:dyDescent="0.2">
      <c r="A32" s="477"/>
      <c r="B32" s="478" t="s">
        <v>374</v>
      </c>
      <c r="C32" s="470" t="s">
        <v>476</v>
      </c>
      <c r="D32" s="452">
        <v>16895</v>
      </c>
      <c r="E32" s="453">
        <f>D32/75</f>
        <v>225.26666666666668</v>
      </c>
      <c r="F32" s="454">
        <f>D32*1.17</f>
        <v>19767.149999999998</v>
      </c>
      <c r="G32" s="453">
        <f>F32/75</f>
        <v>263.56199999999995</v>
      </c>
      <c r="H32" s="454">
        <v>37500</v>
      </c>
      <c r="I32" s="455">
        <f>H32/75</f>
        <v>500</v>
      </c>
    </row>
    <row r="33" spans="1:10" ht="15.75" customHeight="1" x14ac:dyDescent="0.2">
      <c r="A33" s="475"/>
      <c r="B33" s="809" t="s">
        <v>477</v>
      </c>
      <c r="C33" s="810"/>
      <c r="D33" s="461">
        <f t="shared" ref="D33:I33" si="5">SUM(D32)</f>
        <v>16895</v>
      </c>
      <c r="E33" s="462">
        <f t="shared" si="5"/>
        <v>225.26666666666668</v>
      </c>
      <c r="F33" s="461">
        <f t="shared" si="5"/>
        <v>19767.149999999998</v>
      </c>
      <c r="G33" s="462">
        <f t="shared" si="5"/>
        <v>263.56199999999995</v>
      </c>
      <c r="H33" s="461">
        <f t="shared" si="5"/>
        <v>37500</v>
      </c>
      <c r="I33" s="463">
        <f t="shared" si="5"/>
        <v>500</v>
      </c>
    </row>
    <row r="34" spans="1:10" ht="15.75" customHeight="1" x14ac:dyDescent="0.2">
      <c r="A34" s="479"/>
      <c r="B34" s="480"/>
      <c r="C34" s="481"/>
      <c r="D34" s="482"/>
      <c r="E34" s="483"/>
      <c r="F34" s="482"/>
      <c r="G34" s="483"/>
      <c r="H34" s="482"/>
      <c r="I34" s="484"/>
    </row>
    <row r="35" spans="1:10" ht="15.75" customHeight="1" x14ac:dyDescent="0.2">
      <c r="A35" s="466"/>
      <c r="B35" s="808" t="s">
        <v>91</v>
      </c>
      <c r="C35" s="701"/>
      <c r="D35" s="446" t="s">
        <v>39</v>
      </c>
      <c r="E35" s="447" t="s">
        <v>40</v>
      </c>
      <c r="F35" s="446" t="s">
        <v>39</v>
      </c>
      <c r="G35" s="447" t="s">
        <v>40</v>
      </c>
      <c r="H35" s="446" t="s">
        <v>39</v>
      </c>
      <c r="I35" s="448" t="s">
        <v>40</v>
      </c>
    </row>
    <row r="36" spans="1:10" ht="31.5" customHeight="1" x14ac:dyDescent="0.2">
      <c r="A36" s="485"/>
      <c r="B36" s="83" t="s">
        <v>92</v>
      </c>
      <c r="C36" s="451"/>
      <c r="D36" s="452">
        <v>406057.4</v>
      </c>
      <c r="E36" s="453">
        <f>D36/75</f>
        <v>5414.0986666666668</v>
      </c>
      <c r="F36" s="452">
        <v>513067.16</v>
      </c>
      <c r="G36" s="453">
        <f>F36/75</f>
        <v>6840.8954666666659</v>
      </c>
      <c r="H36" s="452">
        <v>435280</v>
      </c>
      <c r="I36" s="453">
        <f>H36/75</f>
        <v>5803.7333333333336</v>
      </c>
    </row>
    <row r="37" spans="1:10" ht="16" customHeight="1" x14ac:dyDescent="0.2">
      <c r="A37" s="486"/>
      <c r="B37" s="811" t="s">
        <v>440</v>
      </c>
      <c r="C37" s="701"/>
      <c r="D37" s="461">
        <f>SUM(D13,D20,D29,D33)*0.1</f>
        <v>406057.4</v>
      </c>
      <c r="E37" s="487">
        <f>D37/75</f>
        <v>5414.0986666666668</v>
      </c>
      <c r="F37" s="461">
        <f>SUM(F13,F20,F29,F33)*0.1</f>
        <v>513067.15800000005</v>
      </c>
      <c r="G37" s="487">
        <f>F37/75</f>
        <v>6840.8954400000011</v>
      </c>
      <c r="H37" s="461">
        <f>SUM(H13,H20,H29,H33)*0.1</f>
        <v>435517.5</v>
      </c>
      <c r="I37" s="488">
        <f>H37/75</f>
        <v>5806.9</v>
      </c>
    </row>
    <row r="38" spans="1:10" ht="16" customHeight="1" thickBot="1" x14ac:dyDescent="0.25">
      <c r="A38" s="485"/>
      <c r="B38" s="489"/>
      <c r="C38" s="451"/>
      <c r="D38" s="490"/>
      <c r="E38" s="491"/>
      <c r="F38" s="492"/>
      <c r="G38" s="491"/>
      <c r="H38" s="493"/>
      <c r="I38" s="476"/>
    </row>
    <row r="39" spans="1:10" s="500" customFormat="1" ht="47.25" customHeight="1" thickBot="1" x14ac:dyDescent="0.25">
      <c r="A39" s="494"/>
      <c r="B39" s="812" t="s">
        <v>478</v>
      </c>
      <c r="C39" s="813"/>
      <c r="D39" s="495">
        <f>SUM(D13,D20,D29,D33,D37)</f>
        <v>4466631.4000000004</v>
      </c>
      <c r="E39" s="496">
        <f>D39/75</f>
        <v>59555.085333333336</v>
      </c>
      <c r="F39" s="495">
        <f>SUM(F13,F20,F29,F33,F37)</f>
        <v>5643738.7379999999</v>
      </c>
      <c r="G39" s="496">
        <f>F39/75</f>
        <v>75249.849839999995</v>
      </c>
      <c r="H39" s="497">
        <f>SUM(H13,H20,H29,H33,H37)</f>
        <v>4790692.5</v>
      </c>
      <c r="I39" s="498">
        <f>H39/75</f>
        <v>63875.9</v>
      </c>
      <c r="J39" s="499"/>
    </row>
    <row r="40" spans="1:10" ht="15.75" customHeight="1" x14ac:dyDescent="0.2"/>
    <row r="41" spans="1:10" ht="15.75" customHeight="1" x14ac:dyDescent="0.2">
      <c r="A41" s="695" t="s">
        <v>95</v>
      </c>
      <c r="B41" s="696"/>
      <c r="C41" s="696"/>
      <c r="D41" s="697"/>
      <c r="E41" s="697"/>
      <c r="F41" s="697"/>
      <c r="G41" s="697"/>
      <c r="H41" s="697"/>
      <c r="I41" s="697"/>
    </row>
    <row r="42" spans="1:10" ht="15.75" customHeight="1" x14ac:dyDescent="0.2">
      <c r="A42" s="698"/>
      <c r="B42" s="696"/>
      <c r="C42" s="696"/>
      <c r="D42" s="697"/>
      <c r="E42" s="697"/>
      <c r="F42" s="697"/>
      <c r="G42" s="697"/>
      <c r="H42" s="697"/>
      <c r="I42" s="697"/>
    </row>
    <row r="43" spans="1:10" ht="15.75" customHeight="1" x14ac:dyDescent="0.2"/>
    <row r="44" spans="1:10" ht="15.75" customHeight="1" x14ac:dyDescent="0.2"/>
    <row r="45" spans="1:10" ht="15.75" customHeight="1" x14ac:dyDescent="0.2"/>
    <row r="46" spans="1:10" ht="15.75" customHeight="1" x14ac:dyDescent="0.2"/>
    <row r="47" spans="1:10" ht="15.75" customHeight="1" x14ac:dyDescent="0.2"/>
    <row r="48" spans="1:10"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sheetData>
  <mergeCells count="23">
    <mergeCell ref="B22:C22"/>
    <mergeCell ref="A1:I1"/>
    <mergeCell ref="B2:H2"/>
    <mergeCell ref="B3:H3"/>
    <mergeCell ref="B4:H4"/>
    <mergeCell ref="B5:H5"/>
    <mergeCell ref="A6:A7"/>
    <mergeCell ref="B6:B7"/>
    <mergeCell ref="C6:C7"/>
    <mergeCell ref="D6:E7"/>
    <mergeCell ref="F6:G7"/>
    <mergeCell ref="H6:I7"/>
    <mergeCell ref="B9:C9"/>
    <mergeCell ref="B13:C13"/>
    <mergeCell ref="B15:C15"/>
    <mergeCell ref="B20:C20"/>
    <mergeCell ref="A41:I42"/>
    <mergeCell ref="B29:C29"/>
    <mergeCell ref="B31:C31"/>
    <mergeCell ref="B33:C33"/>
    <mergeCell ref="B35:C35"/>
    <mergeCell ref="B37:C37"/>
    <mergeCell ref="B39:C39"/>
  </mergeCells>
  <pageMargins left="0.25" right="0.25"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0174-552D-1E45-BF1C-2D15892B4E05}">
  <dimension ref="A1:K21"/>
  <sheetViews>
    <sheetView zoomScale="185" workbookViewId="0">
      <selection activeCell="G26" sqref="G26"/>
    </sheetView>
  </sheetViews>
  <sheetFormatPr baseColWidth="10" defaultRowHeight="16" x14ac:dyDescent="0.2"/>
  <cols>
    <col min="1" max="1" width="3.5" customWidth="1"/>
    <col min="2" max="2" width="4" customWidth="1"/>
    <col min="3" max="3" width="16.83203125" customWidth="1"/>
    <col min="4" max="5" width="11.5" bestFit="1" customWidth="1"/>
    <col min="6" max="7" width="11.5" customWidth="1"/>
    <col min="8" max="8" width="13.1640625" customWidth="1"/>
    <col min="9" max="9" width="4.5" customWidth="1"/>
    <col min="10" max="10" width="3.33203125" customWidth="1"/>
  </cols>
  <sheetData>
    <row r="1" spans="1:11" x14ac:dyDescent="0.2">
      <c r="D1" s="631" t="s">
        <v>626</v>
      </c>
      <c r="E1" s="631" t="s">
        <v>627</v>
      </c>
      <c r="F1" s="631" t="s">
        <v>628</v>
      </c>
      <c r="G1" s="631" t="s">
        <v>629</v>
      </c>
      <c r="H1" s="631" t="s">
        <v>630</v>
      </c>
    </row>
    <row r="2" spans="1:11" s="618" customFormat="1" ht="68" x14ac:dyDescent="0.2">
      <c r="A2" s="620"/>
      <c r="B2" s="620"/>
      <c r="C2" s="620"/>
      <c r="D2" s="629" t="s">
        <v>613</v>
      </c>
      <c r="E2" s="621" t="s">
        <v>621</v>
      </c>
      <c r="F2" s="621" t="s">
        <v>622</v>
      </c>
      <c r="G2" s="621" t="s">
        <v>625</v>
      </c>
      <c r="H2" s="623" t="s">
        <v>623</v>
      </c>
    </row>
    <row r="3" spans="1:11" s="618" customFormat="1" x14ac:dyDescent="0.2">
      <c r="D3" s="630"/>
      <c r="E3" s="622"/>
      <c r="F3" s="622"/>
      <c r="G3" s="622"/>
      <c r="H3" s="624"/>
    </row>
    <row r="4" spans="1:11" x14ac:dyDescent="0.2">
      <c r="B4" s="3" t="s">
        <v>619</v>
      </c>
      <c r="D4" s="625"/>
      <c r="H4" s="625"/>
    </row>
    <row r="5" spans="1:11" x14ac:dyDescent="0.2">
      <c r="C5" t="s">
        <v>598</v>
      </c>
      <c r="D5" s="305">
        <f>[2]Revenue!$E$2</f>
        <v>261552.45000000013</v>
      </c>
      <c r="E5" s="340">
        <f>H7-D5</f>
        <v>388447.54999999987</v>
      </c>
      <c r="F5" s="101">
        <f>SUM([2]Revenue!$E$4:$E$17)</f>
        <v>163500</v>
      </c>
      <c r="G5" s="101">
        <f>D5+F5</f>
        <v>425052.45000000013</v>
      </c>
      <c r="H5" s="305">
        <v>650000</v>
      </c>
    </row>
    <row r="6" spans="1:11" x14ac:dyDescent="0.2">
      <c r="C6" t="s">
        <v>620</v>
      </c>
      <c r="D6" s="305">
        <f>[2]Revenue!$E$3</f>
        <v>5000</v>
      </c>
      <c r="E6" s="101"/>
      <c r="F6" s="101"/>
      <c r="G6" s="101">
        <f>D6</f>
        <v>5000</v>
      </c>
      <c r="H6" s="305"/>
    </row>
    <row r="7" spans="1:11" s="3" customFormat="1" x14ac:dyDescent="0.2">
      <c r="C7" s="608"/>
      <c r="D7" s="626">
        <f>SUM(D5:D6)</f>
        <v>266552.45000000013</v>
      </c>
      <c r="E7" s="189">
        <f>SUM(E5:E6)</f>
        <v>388447.54999999987</v>
      </c>
      <c r="F7" s="189">
        <f>SUM(F5:F6)</f>
        <v>163500</v>
      </c>
      <c r="G7" s="189">
        <f>SUM(G5:G6)</f>
        <v>430052.45000000013</v>
      </c>
      <c r="H7" s="626">
        <f>SUM(H5:H6)</f>
        <v>650000</v>
      </c>
      <c r="J7" s="3" t="s">
        <v>632</v>
      </c>
    </row>
    <row r="8" spans="1:11" x14ac:dyDescent="0.2">
      <c r="D8" s="625"/>
      <c r="H8" s="625"/>
      <c r="K8" s="632" t="s">
        <v>633</v>
      </c>
    </row>
    <row r="9" spans="1:11" x14ac:dyDescent="0.2">
      <c r="D9" s="625"/>
      <c r="H9" s="625"/>
    </row>
    <row r="10" spans="1:11" x14ac:dyDescent="0.2">
      <c r="B10" s="3" t="s">
        <v>618</v>
      </c>
      <c r="D10" s="625"/>
      <c r="H10" s="625"/>
    </row>
    <row r="11" spans="1:11" x14ac:dyDescent="0.2">
      <c r="C11" t="s">
        <v>1</v>
      </c>
      <c r="D11" s="305">
        <f>[1]overview!$C$7+[2]BofA!$X$28</f>
        <v>35444.764482201121</v>
      </c>
      <c r="E11" s="340">
        <f>'2024 BUDGET'!I17</f>
        <v>109596.76218446555</v>
      </c>
      <c r="F11" s="633">
        <v>40000</v>
      </c>
      <c r="G11" s="340">
        <f>F11+D11</f>
        <v>75444.764482201121</v>
      </c>
      <c r="H11" s="627">
        <f t="shared" ref="H11:H16" si="0">D11+E11</f>
        <v>145041.52666666667</v>
      </c>
    </row>
    <row r="12" spans="1:11" x14ac:dyDescent="0.2">
      <c r="C12" t="s">
        <v>2</v>
      </c>
      <c r="D12" s="305">
        <f>[1]overview!$C$8+[2]BofA!$Y$28</f>
        <v>20678.598017798875</v>
      </c>
      <c r="E12" s="340">
        <f>'2024 BUDGET'!I18</f>
        <v>93001.139482201135</v>
      </c>
      <c r="F12" s="633">
        <v>50000</v>
      </c>
      <c r="G12" s="340">
        <f t="shared" ref="G12:G16" si="1">F12+D12</f>
        <v>70678.598017798882</v>
      </c>
      <c r="H12" s="627">
        <f t="shared" si="0"/>
        <v>113679.73750000002</v>
      </c>
    </row>
    <row r="13" spans="1:11" x14ac:dyDescent="0.2">
      <c r="C13" t="s">
        <v>3</v>
      </c>
      <c r="D13" s="305">
        <f>[1]overview!$C$9</f>
        <v>6071.1749999999993</v>
      </c>
      <c r="E13" s="340">
        <f>'2024 BUDGET'!I19</f>
        <v>11029.161</v>
      </c>
      <c r="F13" s="633">
        <v>5000</v>
      </c>
      <c r="G13" s="340">
        <f t="shared" si="1"/>
        <v>11071.174999999999</v>
      </c>
      <c r="H13" s="627">
        <f t="shared" si="0"/>
        <v>17100.335999999999</v>
      </c>
    </row>
    <row r="14" spans="1:11" x14ac:dyDescent="0.2">
      <c r="C14" t="s">
        <v>615</v>
      </c>
      <c r="D14" s="305">
        <f>[1]overview!$C$6</f>
        <v>28628.424999999999</v>
      </c>
      <c r="E14" s="340">
        <f>'2024 BUDGET'!I20</f>
        <v>31255.231250000001</v>
      </c>
      <c r="F14" s="633">
        <f t="shared" ref="F14:F15" si="2">E14</f>
        <v>31255.231250000001</v>
      </c>
      <c r="G14" s="340">
        <f t="shared" si="1"/>
        <v>59883.65625</v>
      </c>
      <c r="H14" s="627">
        <f t="shared" si="0"/>
        <v>59883.65625</v>
      </c>
    </row>
    <row r="15" spans="1:11" x14ac:dyDescent="0.2">
      <c r="C15" t="s">
        <v>594</v>
      </c>
      <c r="D15" s="305">
        <v>0</v>
      </c>
      <c r="E15" s="340">
        <f>'2024 BUDGET'!I21</f>
        <v>75000</v>
      </c>
      <c r="F15" s="633">
        <f t="shared" si="2"/>
        <v>75000</v>
      </c>
      <c r="G15" s="340">
        <f t="shared" si="1"/>
        <v>75000</v>
      </c>
      <c r="H15" s="627">
        <f t="shared" si="0"/>
        <v>75000</v>
      </c>
    </row>
    <row r="16" spans="1:11" x14ac:dyDescent="0.2">
      <c r="C16" t="s">
        <v>617</v>
      </c>
      <c r="D16" s="305">
        <f>'[2]Expenses - High Level'!$C$3</f>
        <v>114129.90999999999</v>
      </c>
      <c r="E16" s="340">
        <f>'2024 BUDGET'!E51-D16</f>
        <v>171739.09000000003</v>
      </c>
      <c r="F16" s="633">
        <v>120000</v>
      </c>
      <c r="G16" s="340">
        <f t="shared" si="1"/>
        <v>234129.90999999997</v>
      </c>
      <c r="H16" s="627">
        <f t="shared" si="0"/>
        <v>285869</v>
      </c>
    </row>
    <row r="17" spans="2:8" x14ac:dyDescent="0.2">
      <c r="C17" s="107"/>
      <c r="D17" s="626">
        <f>SUM(D11:D16)</f>
        <v>204952.8725</v>
      </c>
      <c r="E17" s="189">
        <f>SUM(E11:E16)</f>
        <v>491621.38391666667</v>
      </c>
      <c r="F17" s="189">
        <f>SUM(F11:F16)</f>
        <v>321255.23125000001</v>
      </c>
      <c r="G17" s="189">
        <f>SUM(G11:G16)</f>
        <v>526208.10375000001</v>
      </c>
      <c r="H17" s="626">
        <f>SUM(H11:H16)</f>
        <v>696574.25641666667</v>
      </c>
    </row>
    <row r="18" spans="2:8" x14ac:dyDescent="0.2">
      <c r="D18" s="625"/>
      <c r="H18" s="625"/>
    </row>
    <row r="19" spans="2:8" x14ac:dyDescent="0.2">
      <c r="B19" s="3" t="s">
        <v>624</v>
      </c>
      <c r="D19" s="628">
        <f>D7-D17</f>
        <v>61599.57750000013</v>
      </c>
      <c r="E19" s="619">
        <f>E7-E17</f>
        <v>-103173.8339166668</v>
      </c>
      <c r="F19" s="619">
        <f>F7-F17</f>
        <v>-157755.23125000001</v>
      </c>
      <c r="G19" s="619">
        <f>G7-G17</f>
        <v>-96155.653749999881</v>
      </c>
      <c r="H19" s="628">
        <f>H7-H17</f>
        <v>-46574.256416666671</v>
      </c>
    </row>
    <row r="21" spans="2:8" x14ac:dyDescent="0.2">
      <c r="B21" s="3" t="s">
        <v>631</v>
      </c>
      <c r="G21" s="619" t="e">
        <f>G19+#REF!</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2875E-8673-8A47-A7D0-18DBF8F322EA}">
  <dimension ref="A1:L34"/>
  <sheetViews>
    <sheetView zoomScale="150" workbookViewId="0">
      <pane xSplit="3" ySplit="2" topLeftCell="D7" activePane="bottomRight" state="frozen"/>
      <selection activeCell="G26" sqref="G26"/>
      <selection pane="topRight" activeCell="G26" sqref="G26"/>
      <selection pane="bottomLeft" activeCell="G26" sqref="G26"/>
      <selection pane="bottomRight" activeCell="G26" sqref="G26"/>
    </sheetView>
  </sheetViews>
  <sheetFormatPr baseColWidth="10" defaultColWidth="10.83203125" defaultRowHeight="16" outlineLevelCol="1" x14ac:dyDescent="0.2"/>
  <cols>
    <col min="1" max="1" width="2.6640625" style="3" customWidth="1"/>
    <col min="2" max="2" width="6.6640625" customWidth="1"/>
    <col min="3" max="3" width="33" customWidth="1"/>
    <col min="4" max="6" width="11" style="101" customWidth="1" outlineLevel="1"/>
    <col min="7" max="7" width="11.5" style="101" bestFit="1" customWidth="1"/>
    <col min="8" max="9" width="11" style="101" customWidth="1" outlineLevel="1"/>
    <col min="10" max="10" width="10.83203125" style="123"/>
  </cols>
  <sheetData>
    <row r="1" spans="1:12" s="3" customFormat="1" x14ac:dyDescent="0.2">
      <c r="A1" s="192"/>
      <c r="B1" s="350">
        <v>80</v>
      </c>
      <c r="C1" s="192" t="s">
        <v>22</v>
      </c>
      <c r="D1" s="193">
        <v>2022</v>
      </c>
      <c r="E1" s="193">
        <v>2023</v>
      </c>
      <c r="F1" s="193">
        <v>2023</v>
      </c>
      <c r="G1" s="193">
        <v>2024</v>
      </c>
      <c r="H1" s="193">
        <v>2025</v>
      </c>
      <c r="I1" s="193">
        <v>2026</v>
      </c>
      <c r="J1" s="351" t="s">
        <v>386</v>
      </c>
    </row>
    <row r="2" spans="1:12" s="3" customFormat="1" x14ac:dyDescent="0.2">
      <c r="A2" s="194"/>
      <c r="B2" s="194"/>
      <c r="C2" s="194"/>
      <c r="D2" s="195" t="s">
        <v>7</v>
      </c>
      <c r="E2" s="195" t="s">
        <v>8</v>
      </c>
      <c r="F2" s="195" t="s">
        <v>7</v>
      </c>
      <c r="G2" s="195" t="s">
        <v>8</v>
      </c>
      <c r="H2" s="195" t="s">
        <v>10</v>
      </c>
      <c r="I2" s="195" t="s">
        <v>10</v>
      </c>
      <c r="J2" s="352" t="s">
        <v>387</v>
      </c>
    </row>
    <row r="3" spans="1:12" x14ac:dyDescent="0.2">
      <c r="A3" s="3" t="s">
        <v>0</v>
      </c>
    </row>
    <row r="4" spans="1:12" x14ac:dyDescent="0.2">
      <c r="B4" t="s">
        <v>1</v>
      </c>
      <c r="G4" s="101">
        <f>'R3G2 - Haejin'!K55</f>
        <v>145041.52666666667</v>
      </c>
      <c r="J4" s="503">
        <f>G4/$G$30</f>
        <v>0.23334545336999832</v>
      </c>
    </row>
    <row r="5" spans="1:12" x14ac:dyDescent="0.2">
      <c r="B5" t="s">
        <v>2</v>
      </c>
      <c r="G5" s="101">
        <f>'G.R.A.C.E.'!H64</f>
        <v>113679.7375</v>
      </c>
      <c r="J5" s="503">
        <f t="shared" ref="J5:J10" si="0">G5/$G$30</f>
        <v>0.18289003498207271</v>
      </c>
    </row>
    <row r="6" spans="1:12" x14ac:dyDescent="0.2">
      <c r="B6" t="s">
        <v>3</v>
      </c>
      <c r="G6" s="101">
        <f>'Legacy Education - Haejin'!P38</f>
        <v>17100.335999999999</v>
      </c>
      <c r="J6" s="503">
        <f t="shared" si="0"/>
        <v>2.7511332432881428E-2</v>
      </c>
    </row>
    <row r="7" spans="1:12" x14ac:dyDescent="0.2">
      <c r="B7" t="s">
        <v>4</v>
      </c>
      <c r="G7" s="101">
        <f>+'Sahasee Embers'!I35</f>
        <v>59883.65625</v>
      </c>
      <c r="J7" s="503">
        <f t="shared" si="0"/>
        <v>9.6341918333660098E-2</v>
      </c>
    </row>
    <row r="8" spans="1:12" x14ac:dyDescent="0.2">
      <c r="B8" t="s">
        <v>5</v>
      </c>
      <c r="G8" s="101">
        <f>'HQ staff'!Q11</f>
        <v>150528</v>
      </c>
      <c r="J8" s="503">
        <f t="shared" si="0"/>
        <v>0.24217219173101487</v>
      </c>
    </row>
    <row r="9" spans="1:12" x14ac:dyDescent="0.2">
      <c r="B9" t="s">
        <v>6</v>
      </c>
      <c r="G9" s="101">
        <f>Communications!Q39</f>
        <v>2688</v>
      </c>
      <c r="J9" s="503">
        <f t="shared" si="0"/>
        <v>4.3245034237681225E-3</v>
      </c>
    </row>
    <row r="10" spans="1:12" x14ac:dyDescent="0.2">
      <c r="A10" s="3" t="s">
        <v>9</v>
      </c>
      <c r="B10" s="107"/>
      <c r="C10" s="107"/>
      <c r="D10" s="189">
        <f t="shared" ref="D10:I10" si="1">SUM(D4:D9)</f>
        <v>0</v>
      </c>
      <c r="E10" s="189">
        <f t="shared" si="1"/>
        <v>0</v>
      </c>
      <c r="F10" s="189">
        <f t="shared" si="1"/>
        <v>0</v>
      </c>
      <c r="G10" s="189">
        <f t="shared" si="1"/>
        <v>488921.25641666667</v>
      </c>
      <c r="H10" s="189">
        <f t="shared" si="1"/>
        <v>0</v>
      </c>
      <c r="I10" s="189">
        <f t="shared" si="1"/>
        <v>0</v>
      </c>
      <c r="J10" s="504">
        <f t="shared" si="0"/>
        <v>0.78658543427339556</v>
      </c>
      <c r="K10" s="3"/>
      <c r="L10" s="3"/>
    </row>
    <row r="11" spans="1:12" x14ac:dyDescent="0.2">
      <c r="J11" s="503"/>
    </row>
    <row r="12" spans="1:12" x14ac:dyDescent="0.2">
      <c r="A12" s="3" t="s">
        <v>11</v>
      </c>
      <c r="J12" s="503"/>
    </row>
    <row r="13" spans="1:12" x14ac:dyDescent="0.2">
      <c r="B13" t="s">
        <v>5</v>
      </c>
      <c r="G13" s="101">
        <f>'HQ staff'!R11</f>
        <v>77619</v>
      </c>
      <c r="J13" s="503">
        <f>G13/$G$30</f>
        <v>0.12487486281601858</v>
      </c>
    </row>
    <row r="14" spans="1:12" x14ac:dyDescent="0.2">
      <c r="B14" t="s">
        <v>12</v>
      </c>
      <c r="G14" s="101">
        <f>Communications!Q13</f>
        <v>5868</v>
      </c>
      <c r="J14" s="503">
        <f>G14/$G$30</f>
        <v>9.4405454206366608E-3</v>
      </c>
    </row>
    <row r="15" spans="1:12" x14ac:dyDescent="0.2">
      <c r="B15" t="s">
        <v>13</v>
      </c>
      <c r="G15" s="101">
        <f>Communications!Q25</f>
        <v>7400</v>
      </c>
      <c r="J15" s="503">
        <f>G15/$G$30</f>
        <v>1.1905254961266409E-2</v>
      </c>
    </row>
    <row r="16" spans="1:12" x14ac:dyDescent="0.2">
      <c r="B16" t="s">
        <v>20</v>
      </c>
      <c r="G16" s="101">
        <f>Communications!Q31</f>
        <v>1345</v>
      </c>
      <c r="J16" s="503">
        <f>G16/$G$30</f>
        <v>2.1638605301220705E-3</v>
      </c>
    </row>
    <row r="17" spans="1:11" x14ac:dyDescent="0.2">
      <c r="A17" s="3" t="s">
        <v>14</v>
      </c>
      <c r="B17" s="107"/>
      <c r="C17" s="107"/>
      <c r="D17" s="189">
        <f t="shared" ref="D17:I17" si="2">SUM(D13:D16)</f>
        <v>0</v>
      </c>
      <c r="E17" s="189">
        <f t="shared" si="2"/>
        <v>0</v>
      </c>
      <c r="F17" s="189">
        <f t="shared" si="2"/>
        <v>0</v>
      </c>
      <c r="G17" s="189">
        <f t="shared" si="2"/>
        <v>92232</v>
      </c>
      <c r="H17" s="189">
        <f t="shared" si="2"/>
        <v>0</v>
      </c>
      <c r="I17" s="189">
        <f t="shared" si="2"/>
        <v>0</v>
      </c>
      <c r="J17" s="504">
        <f>G17/$G$30</f>
        <v>0.1483845237280437</v>
      </c>
      <c r="K17" s="3"/>
    </row>
    <row r="18" spans="1:11" x14ac:dyDescent="0.2">
      <c r="J18" s="503"/>
    </row>
    <row r="19" spans="1:11" x14ac:dyDescent="0.2">
      <c r="A19" s="3" t="s">
        <v>15</v>
      </c>
      <c r="J19" s="503"/>
    </row>
    <row r="20" spans="1:11" x14ac:dyDescent="0.2">
      <c r="B20" t="s">
        <v>5</v>
      </c>
      <c r="G20" s="101">
        <f>'HQ staff'!S11</f>
        <v>12771</v>
      </c>
      <c r="J20" s="503">
        <f t="shared" ref="J20:J28" si="3">G20/$G$30</f>
        <v>2.054621771761261E-2</v>
      </c>
    </row>
    <row r="21" spans="1:11" x14ac:dyDescent="0.2">
      <c r="B21" t="s">
        <v>264</v>
      </c>
      <c r="G21" s="101">
        <f>Admin!C11</f>
        <v>0</v>
      </c>
      <c r="J21" s="503">
        <f t="shared" si="3"/>
        <v>0</v>
      </c>
    </row>
    <row r="22" spans="1:11" x14ac:dyDescent="0.2">
      <c r="B22" t="s">
        <v>16</v>
      </c>
      <c r="G22" s="101">
        <f>Admin!C2</f>
        <v>15000</v>
      </c>
      <c r="J22" s="503">
        <f t="shared" si="3"/>
        <v>2.4132273570134612E-2</v>
      </c>
    </row>
    <row r="23" spans="1:11" x14ac:dyDescent="0.2">
      <c r="B23" t="s">
        <v>17</v>
      </c>
      <c r="G23" s="101">
        <f>Admin!C3</f>
        <v>4000</v>
      </c>
      <c r="J23" s="503">
        <f t="shared" si="3"/>
        <v>6.4352729520358969E-3</v>
      </c>
    </row>
    <row r="24" spans="1:11" x14ac:dyDescent="0.2">
      <c r="B24" t="s">
        <v>18</v>
      </c>
      <c r="G24" s="101">
        <f>Admin!C4</f>
        <v>3000</v>
      </c>
      <c r="J24" s="503">
        <f t="shared" si="3"/>
        <v>4.8264547140269226E-3</v>
      </c>
    </row>
    <row r="25" spans="1:11" x14ac:dyDescent="0.2">
      <c r="B25" s="127" t="s">
        <v>189</v>
      </c>
      <c r="G25" s="101">
        <f>Admin!C5</f>
        <v>2000</v>
      </c>
      <c r="J25" s="503">
        <f t="shared" si="3"/>
        <v>3.2176364760179484E-3</v>
      </c>
    </row>
    <row r="26" spans="1:11" x14ac:dyDescent="0.2">
      <c r="B26" t="s">
        <v>19</v>
      </c>
      <c r="G26" s="101">
        <f>Admin!C6+Admin!C7</f>
        <v>2500</v>
      </c>
      <c r="J26" s="503">
        <f t="shared" si="3"/>
        <v>4.0220455950224351E-3</v>
      </c>
    </row>
    <row r="27" spans="1:11" x14ac:dyDescent="0.2">
      <c r="B27" t="s">
        <v>20</v>
      </c>
      <c r="G27" s="101">
        <f>SUM(Admin!C8:C11)</f>
        <v>1150</v>
      </c>
      <c r="J27" s="503">
        <f t="shared" si="3"/>
        <v>1.8501409737103204E-3</v>
      </c>
    </row>
    <row r="28" spans="1:11" x14ac:dyDescent="0.2">
      <c r="A28" s="3" t="s">
        <v>21</v>
      </c>
      <c r="B28" s="107"/>
      <c r="C28" s="107"/>
      <c r="D28" s="189">
        <f t="shared" ref="D28:I28" si="4">SUM(D20:D27)</f>
        <v>0</v>
      </c>
      <c r="E28" s="189">
        <f t="shared" si="4"/>
        <v>0</v>
      </c>
      <c r="F28" s="189">
        <f t="shared" si="4"/>
        <v>0</v>
      </c>
      <c r="G28" s="189">
        <f t="shared" si="4"/>
        <v>40421</v>
      </c>
      <c r="H28" s="189">
        <f t="shared" si="4"/>
        <v>0</v>
      </c>
      <c r="I28" s="189">
        <f t="shared" si="4"/>
        <v>0</v>
      </c>
      <c r="J28" s="504">
        <f t="shared" si="3"/>
        <v>6.5030041998560745E-2</v>
      </c>
      <c r="K28" s="3"/>
    </row>
    <row r="29" spans="1:11" x14ac:dyDescent="0.2">
      <c r="J29" s="503"/>
    </row>
    <row r="30" spans="1:11" x14ac:dyDescent="0.2">
      <c r="A30" s="3" t="s">
        <v>24</v>
      </c>
      <c r="D30" s="188">
        <f t="shared" ref="D30:I30" si="5">D28+D17+D10</f>
        <v>0</v>
      </c>
      <c r="E30" s="188">
        <f t="shared" si="5"/>
        <v>0</v>
      </c>
      <c r="F30" s="188">
        <f t="shared" si="5"/>
        <v>0</v>
      </c>
      <c r="G30" s="188">
        <f t="shared" si="5"/>
        <v>621574.25641666667</v>
      </c>
      <c r="H30" s="188">
        <f t="shared" si="5"/>
        <v>0</v>
      </c>
      <c r="I30" s="188">
        <f t="shared" si="5"/>
        <v>0</v>
      </c>
      <c r="J30" s="503">
        <f>G30/$G$30</f>
        <v>1</v>
      </c>
    </row>
    <row r="32" spans="1:11" x14ac:dyDescent="0.2">
      <c r="A32" s="3" t="s">
        <v>25</v>
      </c>
      <c r="D32" s="188">
        <f t="shared" ref="D32:I32" si="6">D30/2</f>
        <v>0</v>
      </c>
      <c r="E32" s="188">
        <f t="shared" si="6"/>
        <v>0</v>
      </c>
      <c r="F32" s="188">
        <f t="shared" si="6"/>
        <v>0</v>
      </c>
      <c r="G32" s="188">
        <f t="shared" si="6"/>
        <v>310787.12820833334</v>
      </c>
      <c r="H32" s="188">
        <f t="shared" si="6"/>
        <v>0</v>
      </c>
      <c r="I32" s="188">
        <f t="shared" si="6"/>
        <v>0</v>
      </c>
    </row>
    <row r="34" spans="1:9" x14ac:dyDescent="0.2">
      <c r="A34" s="3" t="s">
        <v>26</v>
      </c>
      <c r="D34" s="188">
        <f t="shared" ref="D34:I34" si="7">D30+D32</f>
        <v>0</v>
      </c>
      <c r="E34" s="188">
        <f t="shared" si="7"/>
        <v>0</v>
      </c>
      <c r="F34" s="188">
        <f t="shared" si="7"/>
        <v>0</v>
      </c>
      <c r="G34" s="188">
        <f t="shared" si="7"/>
        <v>932361.38462499995</v>
      </c>
      <c r="H34" s="188">
        <f t="shared" si="7"/>
        <v>0</v>
      </c>
      <c r="I34" s="188">
        <f t="shared" si="7"/>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A01BB-39D2-D04B-8533-BDBDB7468657}">
  <dimension ref="A1:D136"/>
  <sheetViews>
    <sheetView zoomScale="125" workbookViewId="0">
      <selection activeCell="G26" sqref="G26"/>
    </sheetView>
  </sheetViews>
  <sheetFormatPr baseColWidth="10" defaultColWidth="10.83203125" defaultRowHeight="16" x14ac:dyDescent="0.2"/>
  <cols>
    <col min="1" max="1" width="4.1640625" customWidth="1"/>
    <col min="2" max="2" width="3.33203125" customWidth="1"/>
    <col min="3" max="3" width="42.83203125" customWidth="1"/>
    <col min="4" max="4" width="14" style="101" bestFit="1" customWidth="1"/>
  </cols>
  <sheetData>
    <row r="1" spans="1:4" x14ac:dyDescent="0.2">
      <c r="A1" s="3" t="s">
        <v>592</v>
      </c>
      <c r="D1" s="188">
        <f>+D37+D54+D104+D136</f>
        <v>16857577</v>
      </c>
    </row>
    <row r="2" spans="1:4" x14ac:dyDescent="0.2">
      <c r="A2" s="3" t="s">
        <v>593</v>
      </c>
      <c r="D2" s="188">
        <f>+D1*10%</f>
        <v>1685757.7000000002</v>
      </c>
    </row>
    <row r="3" spans="1:4" x14ac:dyDescent="0.2">
      <c r="A3" s="107" t="s">
        <v>23</v>
      </c>
      <c r="B3" s="107" t="s">
        <v>23</v>
      </c>
      <c r="C3" s="107"/>
      <c r="D3" s="189">
        <f>+D1+D2</f>
        <v>18543334.699999999</v>
      </c>
    </row>
    <row r="5" spans="1:4" s="3" customFormat="1" x14ac:dyDescent="0.2">
      <c r="A5" s="604"/>
      <c r="B5" s="604"/>
      <c r="C5" s="604" t="s">
        <v>23</v>
      </c>
      <c r="D5" s="605">
        <v>2024</v>
      </c>
    </row>
    <row r="6" spans="1:4" s="3" customFormat="1" x14ac:dyDescent="0.2">
      <c r="A6" s="604" t="s">
        <v>583</v>
      </c>
      <c r="B6" s="604"/>
      <c r="C6" s="604"/>
      <c r="D6" s="606" t="s">
        <v>39</v>
      </c>
    </row>
    <row r="7" spans="1:4" x14ac:dyDescent="0.2">
      <c r="A7" s="107"/>
      <c r="B7" s="107"/>
      <c r="C7" s="107"/>
      <c r="D7" s="600"/>
    </row>
    <row r="8" spans="1:4" x14ac:dyDescent="0.2">
      <c r="B8" t="s">
        <v>119</v>
      </c>
    </row>
    <row r="9" spans="1:4" x14ac:dyDescent="0.2">
      <c r="C9" t="s">
        <v>127</v>
      </c>
      <c r="D9" s="601">
        <f>+SUM('R3G2 - Haejin'!J10:J15)</f>
        <v>2415280</v>
      </c>
    </row>
    <row r="10" spans="1:4" x14ac:dyDescent="0.2">
      <c r="C10" t="s">
        <v>492</v>
      </c>
      <c r="D10" s="602">
        <f>+'R3G2 - Haejin'!J16</f>
        <v>130000</v>
      </c>
    </row>
    <row r="11" spans="1:4" x14ac:dyDescent="0.2">
      <c r="B11" t="s">
        <v>131</v>
      </c>
      <c r="C11" s="107"/>
      <c r="D11" s="108">
        <f>SUM(D9:D10)</f>
        <v>2545280</v>
      </c>
    </row>
    <row r="14" spans="1:4" x14ac:dyDescent="0.2">
      <c r="B14" t="s">
        <v>496</v>
      </c>
    </row>
    <row r="15" spans="1:4" x14ac:dyDescent="0.2">
      <c r="C15" t="s">
        <v>499</v>
      </c>
      <c r="D15" s="603">
        <f>+'R3G2 - Haejin'!J38</f>
        <v>225000</v>
      </c>
    </row>
    <row r="16" spans="1:4" x14ac:dyDescent="0.2">
      <c r="C16" t="s">
        <v>500</v>
      </c>
      <c r="D16" s="603">
        <f>+'R3G2 - Haejin'!J39</f>
        <v>67500</v>
      </c>
    </row>
    <row r="17" spans="2:4" x14ac:dyDescent="0.2">
      <c r="C17" t="s">
        <v>502</v>
      </c>
      <c r="D17" s="603">
        <f>+'R3G2 - Haejin'!J41</f>
        <v>330000</v>
      </c>
    </row>
    <row r="18" spans="2:4" x14ac:dyDescent="0.2">
      <c r="C18" t="s">
        <v>503</v>
      </c>
      <c r="D18" s="603">
        <f>+'R3G2 - Haejin'!J42</f>
        <v>1150000</v>
      </c>
    </row>
    <row r="19" spans="2:4" x14ac:dyDescent="0.2">
      <c r="C19" t="s">
        <v>511</v>
      </c>
      <c r="D19" s="603">
        <f>'R3G2 - Haejin'!J30</f>
        <v>120600</v>
      </c>
    </row>
    <row r="20" spans="2:4" x14ac:dyDescent="0.2">
      <c r="C20" t="s">
        <v>512</v>
      </c>
      <c r="D20" s="603">
        <f>'R3G2 - Haejin'!J31</f>
        <v>34000</v>
      </c>
    </row>
    <row r="21" spans="2:4" x14ac:dyDescent="0.2">
      <c r="C21" t="s">
        <v>513</v>
      </c>
      <c r="D21" s="603">
        <f>'R3G2 - Haejin'!J32</f>
        <v>140000</v>
      </c>
    </row>
    <row r="22" spans="2:4" x14ac:dyDescent="0.2">
      <c r="C22" t="s">
        <v>514</v>
      </c>
      <c r="D22" s="603">
        <f>'R3G2 - Haejin'!J33</f>
        <v>210000</v>
      </c>
    </row>
    <row r="23" spans="2:4" x14ac:dyDescent="0.2">
      <c r="C23" s="107"/>
      <c r="D23" s="108">
        <f>SUM(D15:D22)</f>
        <v>2277100</v>
      </c>
    </row>
    <row r="24" spans="2:4" x14ac:dyDescent="0.2">
      <c r="D24" s="593"/>
    </row>
    <row r="25" spans="2:4" x14ac:dyDescent="0.2">
      <c r="B25" t="s">
        <v>579</v>
      </c>
      <c r="D25" s="593"/>
    </row>
    <row r="26" spans="2:4" x14ac:dyDescent="0.2">
      <c r="C26" t="s">
        <v>585</v>
      </c>
      <c r="D26" s="593">
        <f>+'R3G2 - Haejin'!J20</f>
        <v>840000</v>
      </c>
    </row>
    <row r="27" spans="2:4" x14ac:dyDescent="0.2">
      <c r="C27" t="s">
        <v>586</v>
      </c>
      <c r="D27" s="593">
        <f>+'R3G2 - Haejin'!J21</f>
        <v>840000</v>
      </c>
    </row>
    <row r="28" spans="2:4" x14ac:dyDescent="0.2">
      <c r="C28" t="s">
        <v>587</v>
      </c>
      <c r="D28" s="593">
        <f>+'R3G2 - Haejin'!J22</f>
        <v>168000</v>
      </c>
    </row>
    <row r="29" spans="2:4" x14ac:dyDescent="0.2">
      <c r="C29" t="s">
        <v>588</v>
      </c>
      <c r="D29" s="593">
        <f>+'R3G2 - Haejin'!J23</f>
        <v>350000</v>
      </c>
    </row>
    <row r="30" spans="2:4" x14ac:dyDescent="0.2">
      <c r="C30" s="107"/>
      <c r="D30" s="108">
        <f>+SUM(D26:D29)</f>
        <v>2198000</v>
      </c>
    </row>
    <row r="32" spans="2:4" x14ac:dyDescent="0.2">
      <c r="B32" t="s">
        <v>115</v>
      </c>
    </row>
    <row r="33" spans="1:4" x14ac:dyDescent="0.2">
      <c r="C33" t="s">
        <v>589</v>
      </c>
      <c r="D33" s="101">
        <f>+'R3G2 - Haejin'!J24</f>
        <v>180000</v>
      </c>
    </row>
    <row r="34" spans="1:4" x14ac:dyDescent="0.2">
      <c r="C34" t="s">
        <v>64</v>
      </c>
      <c r="D34" s="101">
        <f>+'R3G2 - Haejin'!J25</f>
        <v>140000</v>
      </c>
    </row>
    <row r="35" spans="1:4" x14ac:dyDescent="0.2">
      <c r="C35" s="107"/>
      <c r="D35" s="108">
        <f>+D33+D34</f>
        <v>320000</v>
      </c>
    </row>
    <row r="37" spans="1:4" x14ac:dyDescent="0.2">
      <c r="B37" s="3" t="s">
        <v>383</v>
      </c>
      <c r="C37" s="3"/>
      <c r="D37" s="188">
        <f>+D35+D30+D23+D11</f>
        <v>7340380</v>
      </c>
    </row>
    <row r="39" spans="1:4" x14ac:dyDescent="0.2">
      <c r="A39" s="604"/>
      <c r="B39" s="604"/>
      <c r="C39" s="604" t="s">
        <v>23</v>
      </c>
      <c r="D39" s="605">
        <v>2024</v>
      </c>
    </row>
    <row r="40" spans="1:4" x14ac:dyDescent="0.2">
      <c r="A40" s="604" t="s">
        <v>584</v>
      </c>
      <c r="B40" s="604"/>
      <c r="C40" s="604"/>
      <c r="D40" s="607" t="s">
        <v>39</v>
      </c>
    </row>
    <row r="41" spans="1:4" x14ac:dyDescent="0.2">
      <c r="A41" s="608"/>
      <c r="B41" s="608"/>
      <c r="C41" s="608"/>
      <c r="D41" s="609"/>
    </row>
    <row r="42" spans="1:4" x14ac:dyDescent="0.2">
      <c r="B42" t="s">
        <v>119</v>
      </c>
    </row>
    <row r="43" spans="1:4" x14ac:dyDescent="0.2">
      <c r="C43" t="s">
        <v>491</v>
      </c>
      <c r="D43" s="101">
        <f>+Legacy!G6</f>
        <v>184800</v>
      </c>
    </row>
    <row r="44" spans="1:4" x14ac:dyDescent="0.2">
      <c r="C44" t="s">
        <v>121</v>
      </c>
      <c r="D44" s="101">
        <f>+Legacy!G7</f>
        <v>0</v>
      </c>
    </row>
    <row r="45" spans="1:4" x14ac:dyDescent="0.2">
      <c r="C45" t="s">
        <v>492</v>
      </c>
      <c r="D45" s="101">
        <f>+Legacy!G8</f>
        <v>72000</v>
      </c>
    </row>
    <row r="46" spans="1:4" x14ac:dyDescent="0.2">
      <c r="B46" t="s">
        <v>131</v>
      </c>
      <c r="C46" s="107"/>
      <c r="D46" s="108">
        <f>+Legacy!G9</f>
        <v>256800</v>
      </c>
    </row>
    <row r="48" spans="1:4" x14ac:dyDescent="0.2">
      <c r="B48" t="s">
        <v>118</v>
      </c>
      <c r="D48" s="101" t="s">
        <v>23</v>
      </c>
    </row>
    <row r="49" spans="1:4" x14ac:dyDescent="0.2">
      <c r="C49" t="s">
        <v>404</v>
      </c>
      <c r="D49" s="101">
        <f>+Legacy!G12</f>
        <v>652282</v>
      </c>
    </row>
    <row r="50" spans="1:4" x14ac:dyDescent="0.2">
      <c r="C50" t="s">
        <v>402</v>
      </c>
      <c r="D50" s="101">
        <f>+Legacy!G13</f>
        <v>213950</v>
      </c>
    </row>
    <row r="51" spans="1:4" x14ac:dyDescent="0.2">
      <c r="C51" t="s">
        <v>403</v>
      </c>
      <c r="D51" s="101">
        <f>+Legacy!G14</f>
        <v>42900</v>
      </c>
    </row>
    <row r="52" spans="1:4" x14ac:dyDescent="0.2">
      <c r="C52" s="107"/>
      <c r="D52" s="108">
        <f>+Legacy!G15</f>
        <v>909132</v>
      </c>
    </row>
    <row r="53" spans="1:4" x14ac:dyDescent="0.2">
      <c r="C53" s="3"/>
    </row>
    <row r="54" spans="1:4" x14ac:dyDescent="0.2">
      <c r="B54" s="3" t="s">
        <v>383</v>
      </c>
      <c r="D54" s="188">
        <f>+D52+D46</f>
        <v>1165932</v>
      </c>
    </row>
    <row r="56" spans="1:4" x14ac:dyDescent="0.2">
      <c r="A56" s="604"/>
      <c r="B56" s="604"/>
      <c r="C56" s="604" t="s">
        <v>23</v>
      </c>
      <c r="D56" s="605">
        <v>2024</v>
      </c>
    </row>
    <row r="57" spans="1:4" x14ac:dyDescent="0.2">
      <c r="A57" s="604" t="s">
        <v>590</v>
      </c>
      <c r="B57" s="604"/>
      <c r="C57" s="604"/>
      <c r="D57" s="607" t="s">
        <v>39</v>
      </c>
    </row>
    <row r="58" spans="1:4" x14ac:dyDescent="0.2">
      <c r="A58" s="608"/>
      <c r="B58" s="608"/>
      <c r="C58" s="608"/>
      <c r="D58" s="609"/>
    </row>
    <row r="59" spans="1:4" x14ac:dyDescent="0.2">
      <c r="B59" t="s">
        <v>119</v>
      </c>
    </row>
    <row r="60" spans="1:4" x14ac:dyDescent="0.2">
      <c r="C60" t="s">
        <v>127</v>
      </c>
      <c r="D60" s="101">
        <f>+'G.R.A.C.E.'!G6</f>
        <v>2016000</v>
      </c>
    </row>
    <row r="61" spans="1:4" x14ac:dyDescent="0.2">
      <c r="C61" t="s">
        <v>128</v>
      </c>
      <c r="D61" s="101">
        <f>+'G.R.A.C.E.'!G7</f>
        <v>140625</v>
      </c>
    </row>
    <row r="62" spans="1:4" x14ac:dyDescent="0.2">
      <c r="C62" t="s">
        <v>129</v>
      </c>
      <c r="D62" s="101">
        <f>+'G.R.A.C.E.'!G8</f>
        <v>30000</v>
      </c>
    </row>
    <row r="63" spans="1:4" x14ac:dyDescent="0.2">
      <c r="B63" t="s">
        <v>131</v>
      </c>
      <c r="C63" s="107"/>
      <c r="D63" s="108">
        <f>+SUM(D60:D62)</f>
        <v>2186625</v>
      </c>
    </row>
    <row r="65" spans="2:4" x14ac:dyDescent="0.2">
      <c r="B65" t="s">
        <v>118</v>
      </c>
    </row>
    <row r="66" spans="2:4" x14ac:dyDescent="0.2">
      <c r="C66" t="s">
        <v>133</v>
      </c>
      <c r="D66" s="101">
        <f>+'G.R.A.C.E.'!G13</f>
        <v>187110</v>
      </c>
    </row>
    <row r="67" spans="2:4" x14ac:dyDescent="0.2">
      <c r="C67" t="s">
        <v>134</v>
      </c>
      <c r="D67" s="101">
        <f>+'G.R.A.C.E.'!G14</f>
        <v>72000</v>
      </c>
    </row>
    <row r="68" spans="2:4" x14ac:dyDescent="0.2">
      <c r="C68" t="s">
        <v>135</v>
      </c>
      <c r="D68" s="101">
        <f>+'G.R.A.C.E.'!G15</f>
        <v>110000</v>
      </c>
    </row>
    <row r="69" spans="2:4" x14ac:dyDescent="0.2">
      <c r="C69" t="s">
        <v>136</v>
      </c>
      <c r="D69" s="101">
        <f>+'G.R.A.C.E.'!G16</f>
        <v>80000</v>
      </c>
    </row>
    <row r="70" spans="2:4" x14ac:dyDescent="0.2">
      <c r="C70" t="s">
        <v>137</v>
      </c>
      <c r="D70" s="101">
        <f>+'G.R.A.C.E.'!G17</f>
        <v>7200</v>
      </c>
    </row>
    <row r="71" spans="2:4" x14ac:dyDescent="0.2">
      <c r="C71" t="s">
        <v>140</v>
      </c>
      <c r="D71" s="101">
        <f>+'G.R.A.C.E.'!G18</f>
        <v>15000</v>
      </c>
    </row>
    <row r="72" spans="2:4" x14ac:dyDescent="0.2">
      <c r="C72" t="s">
        <v>141</v>
      </c>
      <c r="D72" s="101">
        <f>+'G.R.A.C.E.'!G19</f>
        <v>40000</v>
      </c>
    </row>
    <row r="73" spans="2:4" x14ac:dyDescent="0.2">
      <c r="C73" t="s">
        <v>142</v>
      </c>
      <c r="D73" s="101">
        <f>+'G.R.A.C.E.'!G20</f>
        <v>60000</v>
      </c>
    </row>
    <row r="74" spans="2:4" x14ac:dyDescent="0.2">
      <c r="C74" t="s">
        <v>143</v>
      </c>
      <c r="D74" s="101">
        <f>+'G.R.A.C.E.'!G21</f>
        <v>30000</v>
      </c>
    </row>
    <row r="75" spans="2:4" x14ac:dyDescent="0.2">
      <c r="C75" t="s">
        <v>144</v>
      </c>
      <c r="D75" s="101">
        <f>+'G.R.A.C.E.'!G22</f>
        <v>12000</v>
      </c>
    </row>
    <row r="76" spans="2:4" x14ac:dyDescent="0.2">
      <c r="C76" t="s">
        <v>145</v>
      </c>
      <c r="D76" s="101">
        <f>+'G.R.A.C.E.'!G23</f>
        <v>50000</v>
      </c>
    </row>
    <row r="77" spans="2:4" x14ac:dyDescent="0.2">
      <c r="C77" t="s">
        <v>146</v>
      </c>
      <c r="D77" s="101">
        <f>+'G.R.A.C.E.'!G24</f>
        <v>3000</v>
      </c>
    </row>
    <row r="78" spans="2:4" x14ac:dyDescent="0.2">
      <c r="C78" t="s">
        <v>147</v>
      </c>
      <c r="D78" s="101">
        <f>+'G.R.A.C.E.'!G25</f>
        <v>12000</v>
      </c>
    </row>
    <row r="79" spans="2:4" x14ac:dyDescent="0.2">
      <c r="C79" s="107"/>
      <c r="D79" s="108">
        <f>+SUM(D66:D78)</f>
        <v>678310</v>
      </c>
    </row>
    <row r="81" spans="2:4" x14ac:dyDescent="0.2">
      <c r="B81" t="s">
        <v>120</v>
      </c>
    </row>
    <row r="82" spans="2:4" x14ac:dyDescent="0.2">
      <c r="C82" t="s">
        <v>367</v>
      </c>
      <c r="D82" s="101">
        <f>+'G.R.A.C.E.'!G29</f>
        <v>51200</v>
      </c>
    </row>
    <row r="83" spans="2:4" x14ac:dyDescent="0.2">
      <c r="C83" t="s">
        <v>368</v>
      </c>
      <c r="D83" s="101">
        <f>+'G.R.A.C.E.'!G30</f>
        <v>86060</v>
      </c>
    </row>
    <row r="84" spans="2:4" x14ac:dyDescent="0.2">
      <c r="C84" t="s">
        <v>369</v>
      </c>
      <c r="D84" s="101">
        <f>+'G.R.A.C.E.'!G31</f>
        <v>15000</v>
      </c>
    </row>
    <row r="85" spans="2:4" x14ac:dyDescent="0.2">
      <c r="C85" t="s">
        <v>370</v>
      </c>
      <c r="D85" s="101">
        <f>+'G.R.A.C.E.'!G32</f>
        <v>65000</v>
      </c>
    </row>
    <row r="86" spans="2:4" x14ac:dyDescent="0.2">
      <c r="C86" t="s">
        <v>371</v>
      </c>
      <c r="D86" s="101">
        <f>+'G.R.A.C.E.'!G33</f>
        <v>15000</v>
      </c>
    </row>
    <row r="87" spans="2:4" x14ac:dyDescent="0.2">
      <c r="C87" s="107"/>
      <c r="D87" s="108">
        <f>+SUM(D82:D86)</f>
        <v>232260</v>
      </c>
    </row>
    <row r="89" spans="2:4" x14ac:dyDescent="0.2">
      <c r="B89" t="s">
        <v>122</v>
      </c>
      <c r="D89" s="101" t="s">
        <v>23</v>
      </c>
    </row>
    <row r="90" spans="2:4" x14ac:dyDescent="0.2">
      <c r="C90" t="s">
        <v>122</v>
      </c>
      <c r="D90" s="101">
        <f>+'G.R.A.C.E.'!G41</f>
        <v>120000</v>
      </c>
    </row>
    <row r="91" spans="2:4" x14ac:dyDescent="0.2">
      <c r="C91" s="107"/>
      <c r="D91" s="108">
        <f>+D90</f>
        <v>120000</v>
      </c>
    </row>
    <row r="93" spans="2:4" x14ac:dyDescent="0.2">
      <c r="B93" t="s">
        <v>123</v>
      </c>
    </row>
    <row r="94" spans="2:4" x14ac:dyDescent="0.2">
      <c r="C94" t="s">
        <v>373</v>
      </c>
      <c r="D94" s="101">
        <f>+'G.R.A.C.E.'!G46</f>
        <v>205200</v>
      </c>
    </row>
    <row r="95" spans="2:4" x14ac:dyDescent="0.2">
      <c r="C95" t="s">
        <v>374</v>
      </c>
      <c r="D95" s="101">
        <f>+'G.R.A.C.E.'!G47</f>
        <v>5000</v>
      </c>
    </row>
    <row r="96" spans="2:4" x14ac:dyDescent="0.2">
      <c r="C96" t="s">
        <v>375</v>
      </c>
      <c r="D96" s="101">
        <f>+'G.R.A.C.E.'!G48</f>
        <v>5000</v>
      </c>
    </row>
    <row r="97" spans="1:4" x14ac:dyDescent="0.2">
      <c r="C97" s="107"/>
      <c r="D97" s="108">
        <f>+D94+D95+D96</f>
        <v>215200</v>
      </c>
    </row>
    <row r="99" spans="1:4" x14ac:dyDescent="0.2">
      <c r="B99" t="s">
        <v>124</v>
      </c>
    </row>
    <row r="100" spans="1:4" x14ac:dyDescent="0.2">
      <c r="C100" t="s">
        <v>379</v>
      </c>
      <c r="D100" s="101">
        <f>+'G.R.A.C.E.'!G52</f>
        <v>543695</v>
      </c>
    </row>
    <row r="101" spans="1:4" x14ac:dyDescent="0.2">
      <c r="C101" t="s">
        <v>380</v>
      </c>
      <c r="D101" s="101">
        <f>+'G.R.A.C.E.'!G53</f>
        <v>20000</v>
      </c>
    </row>
    <row r="102" spans="1:4" x14ac:dyDescent="0.2">
      <c r="C102" s="107"/>
      <c r="D102" s="108">
        <f>+'G.R.A.C.E.'!G54</f>
        <v>563695</v>
      </c>
    </row>
    <row r="104" spans="1:4" x14ac:dyDescent="0.2">
      <c r="B104" s="3" t="s">
        <v>383</v>
      </c>
      <c r="C104" s="3"/>
      <c r="D104" s="188">
        <f>+D102+D97+D91+D87+D79+D63</f>
        <v>3996090</v>
      </c>
    </row>
    <row r="107" spans="1:4" x14ac:dyDescent="0.2">
      <c r="A107" s="604"/>
      <c r="B107" s="604"/>
      <c r="C107" s="604" t="s">
        <v>23</v>
      </c>
      <c r="D107" s="605">
        <v>2024</v>
      </c>
    </row>
    <row r="108" spans="1:4" x14ac:dyDescent="0.2">
      <c r="A108" s="604" t="s">
        <v>591</v>
      </c>
      <c r="B108" s="604"/>
      <c r="C108" s="604"/>
      <c r="D108" s="607" t="s">
        <v>39</v>
      </c>
    </row>
    <row r="109" spans="1:4" x14ac:dyDescent="0.2">
      <c r="A109" s="107"/>
      <c r="B109" s="107"/>
      <c r="C109" s="107"/>
      <c r="D109" s="108"/>
    </row>
    <row r="110" spans="1:4" x14ac:dyDescent="0.2">
      <c r="B110" t="s">
        <v>119</v>
      </c>
    </row>
    <row r="111" spans="1:4" x14ac:dyDescent="0.2">
      <c r="C111" t="s">
        <v>127</v>
      </c>
      <c r="D111" s="101">
        <f>+'Sahasee Embers'!H6</f>
        <v>3040800</v>
      </c>
    </row>
    <row r="112" spans="1:4" x14ac:dyDescent="0.2">
      <c r="C112" t="s">
        <v>128</v>
      </c>
      <c r="D112" s="101">
        <f>+'Sahasee Embers'!H7</f>
        <v>234375</v>
      </c>
    </row>
    <row r="113" spans="2:4" x14ac:dyDescent="0.2">
      <c r="C113" t="s">
        <v>129</v>
      </c>
      <c r="D113" s="101">
        <f>+'Sahasee Embers'!H8</f>
        <v>45000</v>
      </c>
    </row>
    <row r="114" spans="2:4" x14ac:dyDescent="0.2">
      <c r="B114" t="s">
        <v>131</v>
      </c>
      <c r="C114" s="107"/>
      <c r="D114" s="108">
        <f>+SUM(D111:D113)</f>
        <v>3320175</v>
      </c>
    </row>
    <row r="116" spans="2:4" x14ac:dyDescent="0.2">
      <c r="B116" t="s">
        <v>481</v>
      </c>
    </row>
    <row r="117" spans="2:4" x14ac:dyDescent="0.2">
      <c r="C117" t="s">
        <v>402</v>
      </c>
      <c r="D117" s="101">
        <f>+'Sahasee Embers'!H12</f>
        <v>82500</v>
      </c>
    </row>
    <row r="118" spans="2:4" x14ac:dyDescent="0.2">
      <c r="C118" t="s">
        <v>379</v>
      </c>
      <c r="D118" s="101">
        <f>+'Sahasee Embers'!H13</f>
        <v>220000</v>
      </c>
    </row>
    <row r="119" spans="2:4" x14ac:dyDescent="0.2">
      <c r="C119" t="s">
        <v>483</v>
      </c>
      <c r="D119" s="101">
        <f>+'Sahasee Embers'!H14</f>
        <v>75000</v>
      </c>
    </row>
    <row r="120" spans="2:4" x14ac:dyDescent="0.2">
      <c r="C120" t="s">
        <v>461</v>
      </c>
      <c r="D120" s="101">
        <f>+'Sahasee Embers'!H15</f>
        <v>25000</v>
      </c>
    </row>
    <row r="121" spans="2:4" x14ac:dyDescent="0.2">
      <c r="C121" s="107"/>
      <c r="D121" s="108">
        <f>+SUM(D117:D120)</f>
        <v>402500</v>
      </c>
    </row>
    <row r="123" spans="2:4" x14ac:dyDescent="0.2">
      <c r="B123" t="s">
        <v>486</v>
      </c>
    </row>
    <row r="124" spans="2:4" x14ac:dyDescent="0.2">
      <c r="C124" t="s">
        <v>464</v>
      </c>
      <c r="D124" s="101">
        <f>+'Sahasee Embers'!H19</f>
        <v>37500</v>
      </c>
    </row>
    <row r="125" spans="2:4" x14ac:dyDescent="0.2">
      <c r="C125" t="s">
        <v>487</v>
      </c>
      <c r="D125" s="101">
        <f>+'Sahasee Embers'!H20</f>
        <v>300000</v>
      </c>
    </row>
    <row r="126" spans="2:4" x14ac:dyDescent="0.2">
      <c r="C126" t="s">
        <v>467</v>
      </c>
      <c r="D126" s="101">
        <f>+'Sahasee Embers'!H21</f>
        <v>75000</v>
      </c>
    </row>
    <row r="127" spans="2:4" x14ac:dyDescent="0.2">
      <c r="C127" t="s">
        <v>488</v>
      </c>
      <c r="D127" s="101">
        <f>+'Sahasee Embers'!H22</f>
        <v>150000</v>
      </c>
    </row>
    <row r="128" spans="2:4" x14ac:dyDescent="0.2">
      <c r="C128" t="s">
        <v>470</v>
      </c>
      <c r="D128" s="101">
        <f>+'Sahasee Embers'!H23</f>
        <v>7500</v>
      </c>
    </row>
    <row r="129" spans="2:4" x14ac:dyDescent="0.2">
      <c r="C129" t="s">
        <v>472</v>
      </c>
      <c r="D129" s="101">
        <f>+'Sahasee Embers'!H24</f>
        <v>25000</v>
      </c>
    </row>
    <row r="130" spans="2:4" x14ac:dyDescent="0.2">
      <c r="C130" s="107"/>
      <c r="D130" s="108">
        <f>+SUM(D124:D129)</f>
        <v>595000</v>
      </c>
    </row>
    <row r="132" spans="2:4" x14ac:dyDescent="0.2">
      <c r="B132" t="s">
        <v>489</v>
      </c>
    </row>
    <row r="133" spans="2:4" x14ac:dyDescent="0.2">
      <c r="C133" t="s">
        <v>490</v>
      </c>
      <c r="D133" s="101">
        <f>+'Sahasee Embers'!H28</f>
        <v>37500</v>
      </c>
    </row>
    <row r="134" spans="2:4" x14ac:dyDescent="0.2">
      <c r="C134" s="107"/>
      <c r="D134" s="108">
        <f>+D133</f>
        <v>37500</v>
      </c>
    </row>
    <row r="136" spans="2:4" x14ac:dyDescent="0.2">
      <c r="B136" s="3" t="s">
        <v>383</v>
      </c>
      <c r="D136" s="188">
        <f>+D134+D130+D121+D114</f>
        <v>4355175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CDE73-4BDB-6D47-8867-06D8402AD9D5}">
  <sheetPr>
    <pageSetUpPr fitToPage="1"/>
  </sheetPr>
  <dimension ref="A1:E56"/>
  <sheetViews>
    <sheetView topLeftCell="A11" zoomScale="150" zoomScaleNormal="150" workbookViewId="0">
      <selection activeCell="G26" sqref="G26"/>
    </sheetView>
  </sheetViews>
  <sheetFormatPr baseColWidth="10" defaultColWidth="10.83203125" defaultRowHeight="16" x14ac:dyDescent="0.2"/>
  <cols>
    <col min="1" max="1" width="38.33203125" style="126" customWidth="1"/>
    <col min="2" max="2" width="73.83203125" style="126" customWidth="1"/>
    <col min="3" max="3" width="15.83203125" style="148" customWidth="1"/>
    <col min="4" max="5" width="10.83203125" style="126"/>
  </cols>
  <sheetData>
    <row r="1" spans="1:5" ht="63" customHeight="1" x14ac:dyDescent="0.2">
      <c r="A1" s="644"/>
      <c r="B1" s="644"/>
      <c r="C1" s="644"/>
    </row>
    <row r="2" spans="1:5" s="129" customFormat="1" ht="15.75" customHeight="1" thickBot="1" x14ac:dyDescent="0.25">
      <c r="A2" s="127"/>
      <c r="B2" s="127"/>
      <c r="C2" s="128"/>
      <c r="D2" s="127"/>
      <c r="E2" s="127"/>
    </row>
    <row r="3" spans="1:5" s="129" customFormat="1" ht="47.25" customHeight="1" thickBot="1" x14ac:dyDescent="0.25">
      <c r="A3" s="645" t="s">
        <v>162</v>
      </c>
      <c r="B3" s="646"/>
      <c r="C3" s="647"/>
      <c r="D3" s="127"/>
      <c r="E3" s="127"/>
    </row>
    <row r="4" spans="1:5" s="129" customFormat="1" ht="15.75" customHeight="1" x14ac:dyDescent="0.2">
      <c r="A4" s="130"/>
      <c r="B4" s="127"/>
      <c r="C4" s="131"/>
      <c r="D4" s="127"/>
      <c r="E4" s="127"/>
    </row>
    <row r="5" spans="1:5" s="129" customFormat="1" ht="15.75" customHeight="1" x14ac:dyDescent="0.2">
      <c r="A5" s="648" t="s">
        <v>163</v>
      </c>
      <c r="B5" s="649"/>
      <c r="C5" s="132"/>
      <c r="D5" s="127"/>
      <c r="E5" s="127"/>
    </row>
    <row r="6" spans="1:5" s="129" customFormat="1" ht="15.75" customHeight="1" x14ac:dyDescent="0.2">
      <c r="A6" s="1" t="s">
        <v>1</v>
      </c>
      <c r="B6" s="133" t="s">
        <v>164</v>
      </c>
      <c r="C6" s="134">
        <v>145041.53</v>
      </c>
      <c r="D6" s="127"/>
      <c r="E6" s="127"/>
    </row>
    <row r="7" spans="1:5" s="129" customFormat="1" ht="15.75" customHeight="1" x14ac:dyDescent="0.2">
      <c r="A7" s="1" t="s">
        <v>2</v>
      </c>
      <c r="B7" s="135" t="s">
        <v>164</v>
      </c>
      <c r="C7" s="136">
        <v>121258.39</v>
      </c>
      <c r="D7" s="127"/>
      <c r="E7" s="127"/>
    </row>
    <row r="8" spans="1:5" s="129" customFormat="1" ht="15.75" customHeight="1" x14ac:dyDescent="0.2">
      <c r="A8" s="1" t="s">
        <v>3</v>
      </c>
      <c r="B8" s="135" t="s">
        <v>164</v>
      </c>
      <c r="C8" s="136">
        <v>17100</v>
      </c>
      <c r="D8" s="127"/>
      <c r="E8" s="127"/>
    </row>
    <row r="9" spans="1:5" s="129" customFormat="1" ht="15.75" customHeight="1" x14ac:dyDescent="0.2">
      <c r="A9" s="1" t="s">
        <v>4</v>
      </c>
      <c r="B9" s="135" t="s">
        <v>164</v>
      </c>
      <c r="C9" s="136">
        <v>63875.9</v>
      </c>
      <c r="D9" s="127"/>
      <c r="E9" s="127"/>
    </row>
    <row r="10" spans="1:5" s="129" customFormat="1" ht="15.75" customHeight="1" x14ac:dyDescent="0.2">
      <c r="A10" s="1" t="s">
        <v>165</v>
      </c>
      <c r="B10" s="135" t="s">
        <v>166</v>
      </c>
      <c r="C10" s="136">
        <v>0</v>
      </c>
      <c r="D10" s="127"/>
      <c r="E10" s="127"/>
    </row>
    <row r="11" spans="1:5" s="129" customFormat="1" ht="31.5" customHeight="1" x14ac:dyDescent="0.2">
      <c r="A11" s="1" t="s">
        <v>167</v>
      </c>
      <c r="B11" s="137" t="s">
        <v>168</v>
      </c>
      <c r="C11" s="136">
        <v>91500</v>
      </c>
      <c r="D11" s="127"/>
      <c r="E11" s="127"/>
    </row>
    <row r="12" spans="1:5" s="129" customFormat="1" ht="15.75" customHeight="1" x14ac:dyDescent="0.2">
      <c r="A12" s="1" t="s">
        <v>169</v>
      </c>
      <c r="B12" s="135" t="s">
        <v>170</v>
      </c>
      <c r="C12" s="136">
        <v>42000</v>
      </c>
      <c r="D12" s="127"/>
      <c r="E12" s="127"/>
    </row>
    <row r="13" spans="1:5" s="129" customFormat="1" ht="47.25" customHeight="1" x14ac:dyDescent="0.2">
      <c r="A13" s="1" t="s">
        <v>171</v>
      </c>
      <c r="B13" s="137" t="s">
        <v>172</v>
      </c>
      <c r="C13" s="136">
        <v>17027.599999999999</v>
      </c>
      <c r="D13" s="127"/>
      <c r="E13" s="127"/>
    </row>
    <row r="14" spans="1:5" s="129" customFormat="1" ht="15.75" customHeight="1" x14ac:dyDescent="0.2">
      <c r="A14" s="1" t="s">
        <v>173</v>
      </c>
      <c r="B14" s="138" t="s">
        <v>174</v>
      </c>
      <c r="C14" s="131">
        <v>2688</v>
      </c>
      <c r="D14" s="127"/>
      <c r="E14" s="127"/>
    </row>
    <row r="15" spans="1:5" s="129" customFormat="1" ht="15.75" customHeight="1" x14ac:dyDescent="0.2">
      <c r="A15" s="650" t="s">
        <v>175</v>
      </c>
      <c r="B15" s="649"/>
      <c r="C15" s="139">
        <f>SUM(C6:C14)</f>
        <v>500491.42</v>
      </c>
      <c r="D15" s="127"/>
      <c r="E15" s="127"/>
    </row>
    <row r="16" spans="1:5" s="129" customFormat="1" ht="15.75" customHeight="1" x14ac:dyDescent="0.2">
      <c r="A16" s="1"/>
      <c r="B16" s="135"/>
      <c r="C16" s="136"/>
      <c r="D16" s="127"/>
      <c r="E16" s="127"/>
    </row>
    <row r="17" spans="1:5" s="129" customFormat="1" ht="15.75" customHeight="1" x14ac:dyDescent="0.2">
      <c r="A17" s="651" t="s">
        <v>176</v>
      </c>
      <c r="B17" s="649"/>
      <c r="C17" s="140"/>
      <c r="D17" s="127"/>
      <c r="E17" s="127"/>
    </row>
    <row r="18" spans="1:5" s="129" customFormat="1" ht="15.75" customHeight="1" x14ac:dyDescent="0.2">
      <c r="A18" s="1" t="s">
        <v>165</v>
      </c>
      <c r="B18" s="135" t="s">
        <v>177</v>
      </c>
      <c r="C18" s="136">
        <v>0</v>
      </c>
      <c r="D18" s="127"/>
      <c r="E18" s="127"/>
    </row>
    <row r="19" spans="1:5" s="129" customFormat="1" ht="15.75" customHeight="1" x14ac:dyDescent="0.2">
      <c r="A19" s="1" t="s">
        <v>178</v>
      </c>
      <c r="B19" s="135" t="s">
        <v>179</v>
      </c>
      <c r="C19" s="136">
        <v>18000</v>
      </c>
      <c r="D19" s="127"/>
      <c r="E19" s="127"/>
    </row>
    <row r="20" spans="1:5" s="129" customFormat="1" ht="31.5" customHeight="1" x14ac:dyDescent="0.2">
      <c r="A20" s="1" t="s">
        <v>180</v>
      </c>
      <c r="B20" s="137" t="s">
        <v>181</v>
      </c>
      <c r="C20" s="136">
        <v>46848</v>
      </c>
      <c r="D20" s="127"/>
      <c r="E20" s="127"/>
    </row>
    <row r="21" spans="1:5" s="129" customFormat="1" ht="47.25" customHeight="1" x14ac:dyDescent="0.2">
      <c r="A21" s="1" t="s">
        <v>182</v>
      </c>
      <c r="B21" s="137" t="s">
        <v>183</v>
      </c>
      <c r="C21" s="136">
        <v>12771</v>
      </c>
      <c r="D21" s="127"/>
      <c r="E21" s="127"/>
    </row>
    <row r="22" spans="1:5" s="129" customFormat="1" ht="15.75" customHeight="1" x14ac:dyDescent="0.2">
      <c r="A22" s="1" t="s">
        <v>12</v>
      </c>
      <c r="B22" s="135" t="s">
        <v>184</v>
      </c>
      <c r="C22" s="136">
        <v>5868</v>
      </c>
      <c r="D22" s="127"/>
      <c r="E22" s="127"/>
    </row>
    <row r="23" spans="1:5" s="129" customFormat="1" ht="15.75" customHeight="1" x14ac:dyDescent="0.2">
      <c r="A23" s="1" t="s">
        <v>185</v>
      </c>
      <c r="B23" s="135" t="s">
        <v>184</v>
      </c>
      <c r="C23" s="136">
        <v>7400</v>
      </c>
      <c r="D23" s="127"/>
      <c r="E23" s="127"/>
    </row>
    <row r="24" spans="1:5" s="129" customFormat="1" ht="15.75" customHeight="1" x14ac:dyDescent="0.2">
      <c r="A24" s="1" t="s">
        <v>186</v>
      </c>
      <c r="B24" s="135" t="s">
        <v>184</v>
      </c>
      <c r="C24" s="136">
        <v>1345</v>
      </c>
      <c r="D24" s="127"/>
      <c r="E24" s="127"/>
    </row>
    <row r="25" spans="1:5" s="129" customFormat="1" ht="15.75" customHeight="1" x14ac:dyDescent="0.2">
      <c r="A25" s="652" t="s">
        <v>187</v>
      </c>
      <c r="B25" s="649"/>
      <c r="C25" s="140">
        <f>SUM(C18:C24)</f>
        <v>92232</v>
      </c>
      <c r="D25" s="127"/>
      <c r="E25" s="127"/>
    </row>
    <row r="26" spans="1:5" s="129" customFormat="1" ht="15.75" customHeight="1" x14ac:dyDescent="0.2">
      <c r="A26" s="1"/>
      <c r="B26" s="135"/>
      <c r="C26" s="136"/>
      <c r="D26" s="127"/>
      <c r="E26" s="127"/>
    </row>
    <row r="27" spans="1:5" s="129" customFormat="1" ht="15.75" customHeight="1" x14ac:dyDescent="0.2">
      <c r="A27" s="653" t="s">
        <v>188</v>
      </c>
      <c r="B27" s="649"/>
      <c r="C27" s="141"/>
      <c r="D27" s="127"/>
      <c r="E27" s="127"/>
    </row>
    <row r="28" spans="1:5" s="129" customFormat="1" ht="47.25" customHeight="1" x14ac:dyDescent="0.2">
      <c r="A28" s="1" t="s">
        <v>182</v>
      </c>
      <c r="B28" s="137" t="s">
        <v>183</v>
      </c>
      <c r="C28" s="136">
        <v>12771</v>
      </c>
      <c r="D28" s="127"/>
      <c r="E28" s="127"/>
    </row>
    <row r="29" spans="1:5" s="129" customFormat="1" ht="15.75" customHeight="1" x14ac:dyDescent="0.2">
      <c r="A29" s="1" t="s">
        <v>189</v>
      </c>
      <c r="B29" s="135"/>
      <c r="C29" s="136">
        <v>2000</v>
      </c>
      <c r="D29" s="127"/>
      <c r="E29" s="127"/>
    </row>
    <row r="30" spans="1:5" s="129" customFormat="1" ht="15.75" customHeight="1" x14ac:dyDescent="0.2">
      <c r="A30" s="1" t="s">
        <v>17</v>
      </c>
      <c r="B30" s="135"/>
      <c r="C30" s="136">
        <v>4000</v>
      </c>
      <c r="D30" s="127"/>
      <c r="E30" s="127"/>
    </row>
    <row r="31" spans="1:5" s="129" customFormat="1" ht="15.75" customHeight="1" x14ac:dyDescent="0.2">
      <c r="A31" s="1" t="s">
        <v>190</v>
      </c>
      <c r="B31" s="135"/>
      <c r="C31" s="136">
        <v>200</v>
      </c>
      <c r="D31" s="127"/>
      <c r="E31" s="127"/>
    </row>
    <row r="32" spans="1:5" s="129" customFormat="1" ht="15.75" customHeight="1" x14ac:dyDescent="0.2">
      <c r="A32" s="1" t="s">
        <v>191</v>
      </c>
      <c r="B32" s="135"/>
      <c r="C32" s="136">
        <v>250</v>
      </c>
      <c r="D32" s="127"/>
      <c r="E32" s="127"/>
    </row>
    <row r="33" spans="1:5" s="129" customFormat="1" ht="15.75" customHeight="1" x14ac:dyDescent="0.2">
      <c r="A33" s="1" t="s">
        <v>16</v>
      </c>
      <c r="B33" s="135"/>
      <c r="C33" s="136">
        <v>15000</v>
      </c>
      <c r="D33" s="127"/>
      <c r="E33" s="127"/>
    </row>
    <row r="34" spans="1:5" s="129" customFormat="1" ht="15.75" customHeight="1" x14ac:dyDescent="0.2">
      <c r="A34" s="1" t="s">
        <v>192</v>
      </c>
      <c r="B34" s="135"/>
      <c r="C34" s="136">
        <v>700</v>
      </c>
      <c r="D34" s="127"/>
      <c r="E34" s="127"/>
    </row>
    <row r="35" spans="1:5" s="129" customFormat="1" ht="15.75" customHeight="1" x14ac:dyDescent="0.2">
      <c r="A35" s="1" t="s">
        <v>193</v>
      </c>
      <c r="B35" s="135"/>
      <c r="C35" s="136">
        <v>1000</v>
      </c>
      <c r="D35" s="127"/>
      <c r="E35" s="127"/>
    </row>
    <row r="36" spans="1:5" s="129" customFormat="1" ht="15.75" customHeight="1" x14ac:dyDescent="0.2">
      <c r="A36" s="1" t="s">
        <v>194</v>
      </c>
      <c r="B36" s="135"/>
      <c r="C36" s="136">
        <v>1500</v>
      </c>
      <c r="D36" s="127"/>
      <c r="E36" s="127"/>
    </row>
    <row r="37" spans="1:5" s="129" customFormat="1" ht="15.75" customHeight="1" x14ac:dyDescent="0.2">
      <c r="A37" s="1" t="s">
        <v>195</v>
      </c>
      <c r="B37" s="135" t="s">
        <v>196</v>
      </c>
      <c r="C37" s="136">
        <v>3000</v>
      </c>
      <c r="D37" s="127"/>
      <c r="E37" s="127"/>
    </row>
    <row r="38" spans="1:5" s="129" customFormat="1" ht="15.75" customHeight="1" x14ac:dyDescent="0.2">
      <c r="A38" s="1" t="s">
        <v>197</v>
      </c>
      <c r="B38" s="135" t="s">
        <v>198</v>
      </c>
      <c r="C38" s="136">
        <v>0</v>
      </c>
      <c r="D38" s="127"/>
      <c r="E38" s="127"/>
    </row>
    <row r="39" spans="1:5" s="129" customFormat="1" ht="15.75" customHeight="1" x14ac:dyDescent="0.2">
      <c r="A39" s="654" t="s">
        <v>199</v>
      </c>
      <c r="B39" s="655"/>
      <c r="C39" s="141">
        <f>SUM(C28:C38)</f>
        <v>40421</v>
      </c>
      <c r="D39" s="127"/>
      <c r="E39" s="127"/>
    </row>
    <row r="40" spans="1:5" s="129" customFormat="1" ht="15.75" customHeight="1" x14ac:dyDescent="0.2">
      <c r="A40" s="142"/>
      <c r="B40" s="143"/>
      <c r="C40" s="136"/>
      <c r="D40" s="127"/>
      <c r="E40" s="127"/>
    </row>
    <row r="41" spans="1:5" s="129" customFormat="1" ht="15.75" customHeight="1" x14ac:dyDescent="0.2">
      <c r="A41" s="656" t="s">
        <v>200</v>
      </c>
      <c r="B41" s="657"/>
      <c r="C41" s="144">
        <f>SUM(C15,C25,C39)</f>
        <v>633144.41999999993</v>
      </c>
      <c r="D41" s="127"/>
      <c r="E41" s="127"/>
    </row>
    <row r="42" spans="1:5" s="129" customFormat="1" ht="15.75" customHeight="1" x14ac:dyDescent="0.2">
      <c r="A42" s="1"/>
      <c r="B42" s="135"/>
      <c r="C42" s="136"/>
      <c r="D42" s="127"/>
      <c r="E42" s="127"/>
    </row>
    <row r="43" spans="1:5" s="129" customFormat="1" ht="15.75" customHeight="1" x14ac:dyDescent="0.2">
      <c r="A43" s="658" t="s">
        <v>201</v>
      </c>
      <c r="B43" s="657"/>
      <c r="C43" s="145">
        <f>SUM(C15,C25,C39)/2</f>
        <v>316572.20999999996</v>
      </c>
      <c r="D43" s="127"/>
      <c r="E43" s="127"/>
    </row>
    <row r="44" spans="1:5" s="129" customFormat="1" ht="15.75" customHeight="1" thickBot="1" x14ac:dyDescent="0.25">
      <c r="A44" s="1"/>
      <c r="B44" s="135"/>
      <c r="C44" s="136"/>
      <c r="D44" s="127"/>
      <c r="E44" s="127"/>
    </row>
    <row r="45" spans="1:5" s="129" customFormat="1" ht="31.5" customHeight="1" thickBot="1" x14ac:dyDescent="0.25">
      <c r="A45" s="659" t="s">
        <v>202</v>
      </c>
      <c r="B45" s="660"/>
      <c r="C45" s="146">
        <f>SUM(C15,C25,C39,C43)</f>
        <v>949716.62999999989</v>
      </c>
      <c r="D45" s="127"/>
      <c r="E45" s="127"/>
    </row>
    <row r="46" spans="1:5" s="129" customFormat="1" ht="15.75" customHeight="1" x14ac:dyDescent="0.2">
      <c r="A46" s="127"/>
      <c r="B46" s="127"/>
      <c r="C46" s="128"/>
      <c r="D46" s="127"/>
      <c r="E46" s="127"/>
    </row>
    <row r="47" spans="1:5" s="129" customFormat="1" ht="15.75" customHeight="1" x14ac:dyDescent="0.2">
      <c r="A47" s="638" t="s">
        <v>95</v>
      </c>
      <c r="B47" s="639"/>
      <c r="C47" s="640"/>
      <c r="D47" s="127"/>
      <c r="E47" s="127"/>
    </row>
    <row r="48" spans="1:5" s="129" customFormat="1" ht="15.75" customHeight="1" x14ac:dyDescent="0.2">
      <c r="A48" s="641"/>
      <c r="B48" s="642"/>
      <c r="C48" s="643"/>
      <c r="D48" s="127"/>
      <c r="E48" s="127"/>
    </row>
    <row r="49" spans="1:5" s="129" customFormat="1" ht="15.75" customHeight="1" x14ac:dyDescent="0.2">
      <c r="A49" s="127"/>
      <c r="B49" s="127"/>
      <c r="C49" s="128"/>
      <c r="D49" s="127"/>
      <c r="E49" s="127"/>
    </row>
    <row r="50" spans="1:5" s="129" customFormat="1" ht="15.75" customHeight="1" x14ac:dyDescent="0.2">
      <c r="A50" s="127"/>
      <c r="B50" s="147"/>
      <c r="C50" s="128"/>
      <c r="D50" s="127"/>
      <c r="E50" s="127"/>
    </row>
    <row r="51" spans="1:5" s="129" customFormat="1" ht="15.75" customHeight="1" x14ac:dyDescent="0.2">
      <c r="A51" s="127"/>
      <c r="B51" s="127"/>
      <c r="C51" s="128"/>
      <c r="D51" s="127"/>
      <c r="E51" s="127"/>
    </row>
    <row r="52" spans="1:5" s="129" customFormat="1" ht="15.75" customHeight="1" x14ac:dyDescent="0.2">
      <c r="A52" s="127"/>
      <c r="B52" s="127"/>
      <c r="C52" s="128"/>
      <c r="D52" s="127"/>
      <c r="E52" s="127"/>
    </row>
    <row r="53" spans="1:5" s="129" customFormat="1" ht="15.75" customHeight="1" x14ac:dyDescent="0.2">
      <c r="A53" s="127"/>
      <c r="B53" s="127"/>
      <c r="C53" s="128"/>
      <c r="D53" s="127"/>
      <c r="E53" s="127"/>
    </row>
    <row r="54" spans="1:5" s="129" customFormat="1" ht="15.75" customHeight="1" x14ac:dyDescent="0.2">
      <c r="A54" s="127"/>
      <c r="B54" s="127"/>
      <c r="C54" s="128"/>
      <c r="D54" s="127"/>
      <c r="E54" s="127"/>
    </row>
    <row r="55" spans="1:5" s="129" customFormat="1" ht="15.75" customHeight="1" x14ac:dyDescent="0.2">
      <c r="A55" s="127"/>
      <c r="B55" s="127"/>
      <c r="C55" s="128"/>
      <c r="D55" s="127"/>
      <c r="E55" s="127"/>
    </row>
    <row r="56" spans="1:5" s="129" customFormat="1" ht="15.75" customHeight="1" x14ac:dyDescent="0.2">
      <c r="A56" s="127"/>
      <c r="B56" s="127"/>
      <c r="C56" s="128"/>
      <c r="D56" s="127"/>
      <c r="E56" s="127"/>
    </row>
  </sheetData>
  <mergeCells count="12">
    <mergeCell ref="A47:C48"/>
    <mergeCell ref="A1:C1"/>
    <mergeCell ref="A3:C3"/>
    <mergeCell ref="A5:B5"/>
    <mergeCell ref="A15:B15"/>
    <mergeCell ref="A17:B17"/>
    <mergeCell ref="A25:B25"/>
    <mergeCell ref="A27:B27"/>
    <mergeCell ref="A39:B39"/>
    <mergeCell ref="A41:B41"/>
    <mergeCell ref="A43:B43"/>
    <mergeCell ref="A45:B45"/>
  </mergeCells>
  <pageMargins left="0.7" right="0.7" top="0.75" bottom="0.75" header="0.3" footer="0.3"/>
  <pageSetup scale="66"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3E284-B1B2-7C47-B210-57047CE82E27}">
  <dimension ref="A1:U22"/>
  <sheetViews>
    <sheetView showGridLines="0" zoomScale="150" workbookViewId="0">
      <pane xSplit="2" ySplit="3" topLeftCell="C4" activePane="bottomRight" state="frozen"/>
      <selection activeCell="G26" sqref="G26"/>
      <selection pane="topRight" activeCell="G26" sqref="G26"/>
      <selection pane="bottomLeft" activeCell="G26" sqref="G26"/>
      <selection pane="bottomRight" activeCell="G26" sqref="G26"/>
    </sheetView>
  </sheetViews>
  <sheetFormatPr baseColWidth="10" defaultColWidth="10.83203125" defaultRowHeight="16" x14ac:dyDescent="0.2"/>
  <cols>
    <col min="1" max="1" width="2.1640625" customWidth="1"/>
    <col min="2" max="2" width="22.83203125" customWidth="1"/>
    <col min="3" max="3" width="9.5" style="101" customWidth="1"/>
    <col min="4" max="4" width="18.83203125" style="101" customWidth="1"/>
    <col min="5" max="5" width="9" style="101" customWidth="1"/>
    <col min="6" max="6" width="8.6640625" style="101" customWidth="1"/>
    <col min="7" max="7" width="8.83203125" style="101" customWidth="1"/>
    <col min="8" max="8" width="6.83203125" style="101" customWidth="1"/>
    <col min="9" max="9" width="9.33203125" style="101" customWidth="1"/>
    <col min="10" max="10" width="9.5" style="101" customWidth="1"/>
    <col min="11" max="11" width="8.6640625" style="101" customWidth="1"/>
    <col min="12" max="12" width="3.33203125" style="101" customWidth="1"/>
    <col min="13" max="13" width="7.5" customWidth="1"/>
    <col min="14" max="15" width="7.33203125" customWidth="1"/>
    <col min="16" max="16" width="2.83203125" customWidth="1"/>
    <col min="17" max="17" width="9.33203125" customWidth="1"/>
    <col min="18" max="19" width="8.5" customWidth="1"/>
    <col min="20" max="20" width="9.83203125" customWidth="1"/>
    <col min="21" max="21" width="8.1640625" customWidth="1"/>
  </cols>
  <sheetData>
    <row r="1" spans="1:21" x14ac:dyDescent="0.2">
      <c r="A1" s="3"/>
      <c r="B1" s="3"/>
      <c r="C1" s="188"/>
      <c r="D1" s="188"/>
      <c r="E1" s="188"/>
      <c r="F1" s="188"/>
      <c r="G1" s="188"/>
      <c r="H1" s="188"/>
      <c r="I1" s="188"/>
      <c r="J1" s="188"/>
      <c r="K1" s="188"/>
      <c r="L1" s="188"/>
      <c r="M1" s="3"/>
      <c r="N1" s="3"/>
      <c r="O1" s="3"/>
      <c r="P1" s="3"/>
      <c r="Q1" s="3"/>
      <c r="R1" s="3"/>
      <c r="S1" s="3"/>
      <c r="T1" s="3"/>
      <c r="U1" s="3"/>
    </row>
    <row r="2" spans="1:21" x14ac:dyDescent="0.2">
      <c r="A2" s="3"/>
      <c r="B2" s="3"/>
      <c r="C2" s="111" t="s">
        <v>104</v>
      </c>
      <c r="D2" s="111" t="s">
        <v>109</v>
      </c>
      <c r="E2" s="111" t="s">
        <v>113</v>
      </c>
      <c r="F2" s="664" t="s">
        <v>105</v>
      </c>
      <c r="G2" s="665"/>
      <c r="H2" s="664" t="s">
        <v>106</v>
      </c>
      <c r="I2" s="665"/>
      <c r="J2" s="309" t="s">
        <v>115</v>
      </c>
      <c r="K2" s="309"/>
      <c r="L2" s="308"/>
      <c r="M2" s="661" t="s">
        <v>97</v>
      </c>
      <c r="N2" s="662"/>
      <c r="O2" s="663"/>
      <c r="P2" s="3"/>
      <c r="Q2" s="661" t="s">
        <v>107</v>
      </c>
      <c r="R2" s="662"/>
      <c r="S2" s="663"/>
      <c r="T2" s="3"/>
      <c r="U2" s="3"/>
    </row>
    <row r="3" spans="1:21" s="2" customFormat="1" x14ac:dyDescent="0.2">
      <c r="A3" s="4"/>
      <c r="B3" s="4"/>
      <c r="C3" s="111" t="s">
        <v>111</v>
      </c>
      <c r="D3" s="4" t="s">
        <v>112</v>
      </c>
      <c r="E3" s="111" t="s">
        <v>114</v>
      </c>
      <c r="F3" s="312" t="s">
        <v>103</v>
      </c>
      <c r="G3" s="313" t="s">
        <v>107</v>
      </c>
      <c r="H3" s="312" t="s">
        <v>103</v>
      </c>
      <c r="I3" s="313" t="s">
        <v>107</v>
      </c>
      <c r="J3" s="310" t="s">
        <v>19</v>
      </c>
      <c r="K3" s="310" t="s">
        <v>110</v>
      </c>
      <c r="L3" s="111"/>
      <c r="M3" s="324" t="s">
        <v>384</v>
      </c>
      <c r="N3" s="4" t="s">
        <v>385</v>
      </c>
      <c r="O3" s="325" t="s">
        <v>96</v>
      </c>
      <c r="P3" s="4"/>
      <c r="Q3" s="324" t="s">
        <v>384</v>
      </c>
      <c r="R3" s="4" t="s">
        <v>385</v>
      </c>
      <c r="S3" s="325" t="s">
        <v>96</v>
      </c>
      <c r="T3" s="311" t="s">
        <v>116</v>
      </c>
      <c r="U3" s="311" t="s">
        <v>116</v>
      </c>
    </row>
    <row r="4" spans="1:21" x14ac:dyDescent="0.2">
      <c r="B4" s="107"/>
      <c r="C4" s="108"/>
      <c r="D4" s="108"/>
      <c r="E4" s="108"/>
      <c r="F4" s="314"/>
      <c r="G4" s="315"/>
      <c r="H4" s="314"/>
      <c r="I4" s="315"/>
      <c r="J4" s="304"/>
      <c r="K4" s="304"/>
      <c r="L4" s="108"/>
      <c r="M4" s="326"/>
      <c r="N4" s="107"/>
      <c r="O4" s="327"/>
      <c r="P4" s="107"/>
      <c r="Q4" s="326"/>
      <c r="R4" s="107"/>
      <c r="S4" s="327"/>
    </row>
    <row r="5" spans="1:21" x14ac:dyDescent="0.2">
      <c r="B5" t="s">
        <v>108</v>
      </c>
      <c r="C5" s="104">
        <v>0</v>
      </c>
      <c r="D5" s="103">
        <v>0.5</v>
      </c>
      <c r="E5" s="104"/>
      <c r="F5" s="316"/>
      <c r="G5" s="317"/>
      <c r="H5" s="316"/>
      <c r="I5" s="317"/>
      <c r="J5" s="305"/>
      <c r="K5" s="305"/>
      <c r="M5" s="328">
        <v>0.5</v>
      </c>
      <c r="N5" s="329">
        <v>0.5</v>
      </c>
      <c r="O5" s="330">
        <v>0</v>
      </c>
      <c r="Q5" s="337"/>
      <c r="S5" s="338"/>
      <c r="T5" s="101">
        <f t="shared" ref="T5:T10" si="0">SUM(Q5:S5)</f>
        <v>0</v>
      </c>
      <c r="U5" s="109" t="str">
        <f t="shared" ref="U5:U10" si="1">IF(T5=K5, "OK", "error")</f>
        <v>OK</v>
      </c>
    </row>
    <row r="6" spans="1:21" x14ac:dyDescent="0.2">
      <c r="B6" t="s">
        <v>99</v>
      </c>
      <c r="C6" s="104">
        <v>120000</v>
      </c>
      <c r="D6" s="103">
        <f>25/40</f>
        <v>0.625</v>
      </c>
      <c r="E6" s="105">
        <f>C6*D6</f>
        <v>75000</v>
      </c>
      <c r="F6" s="318">
        <v>0.12</v>
      </c>
      <c r="G6" s="319">
        <f>E6*F6</f>
        <v>9000</v>
      </c>
      <c r="H6" s="318">
        <v>0.1</v>
      </c>
      <c r="I6" s="319">
        <f>E6*H6</f>
        <v>7500</v>
      </c>
      <c r="J6" s="306"/>
      <c r="K6" s="306">
        <f>E6+G6+I6+J6</f>
        <v>91500</v>
      </c>
      <c r="L6" s="104"/>
      <c r="M6" s="331">
        <v>1</v>
      </c>
      <c r="N6" s="329">
        <v>0</v>
      </c>
      <c r="O6" s="330">
        <v>0</v>
      </c>
      <c r="Q6" s="339">
        <f>K6*M6</f>
        <v>91500</v>
      </c>
      <c r="R6" s="340">
        <f>K6*N6</f>
        <v>0</v>
      </c>
      <c r="S6" s="341">
        <f>K6*O6</f>
        <v>0</v>
      </c>
      <c r="T6" s="101">
        <f t="shared" si="0"/>
        <v>91500</v>
      </c>
      <c r="U6" s="109" t="str">
        <f t="shared" si="1"/>
        <v>OK</v>
      </c>
    </row>
    <row r="7" spans="1:21" x14ac:dyDescent="0.2">
      <c r="B7" t="s">
        <v>100</v>
      </c>
      <c r="C7" s="104">
        <v>150000</v>
      </c>
      <c r="D7" s="103">
        <f>2/5</f>
        <v>0.4</v>
      </c>
      <c r="E7" s="105">
        <f>C7*D7</f>
        <v>60000</v>
      </c>
      <c r="F7" s="318">
        <v>0</v>
      </c>
      <c r="G7" s="319">
        <f>E7*F7</f>
        <v>0</v>
      </c>
      <c r="H7" s="318">
        <v>0</v>
      </c>
      <c r="I7" s="319">
        <f>E7*H7</f>
        <v>0</v>
      </c>
      <c r="J7" s="306"/>
      <c r="K7" s="306">
        <f>E7+G7+I7+J7</f>
        <v>60000</v>
      </c>
      <c r="M7" s="331">
        <v>0.7</v>
      </c>
      <c r="N7" s="332">
        <v>0.3</v>
      </c>
      <c r="O7" s="330">
        <v>0</v>
      </c>
      <c r="Q7" s="339">
        <f>K7*M7</f>
        <v>42000</v>
      </c>
      <c r="R7" s="340">
        <f>K7*N7</f>
        <v>18000</v>
      </c>
      <c r="S7" s="341">
        <f>K7*O7</f>
        <v>0</v>
      </c>
      <c r="T7" s="101">
        <f t="shared" si="0"/>
        <v>60000</v>
      </c>
      <c r="U7" s="109" t="str">
        <f t="shared" si="1"/>
        <v>OK</v>
      </c>
    </row>
    <row r="8" spans="1:21" x14ac:dyDescent="0.2">
      <c r="B8" t="s">
        <v>101</v>
      </c>
      <c r="C8" s="106">
        <v>30</v>
      </c>
      <c r="D8" s="110">
        <v>20</v>
      </c>
      <c r="E8" s="106">
        <f>C8*D8*52</f>
        <v>31200</v>
      </c>
      <c r="F8" s="318">
        <v>0.12</v>
      </c>
      <c r="G8" s="319">
        <f>E8*F8</f>
        <v>3744</v>
      </c>
      <c r="H8" s="318">
        <v>0.1</v>
      </c>
      <c r="I8" s="319">
        <f>E8*H8</f>
        <v>3120</v>
      </c>
      <c r="J8" s="322">
        <v>4506</v>
      </c>
      <c r="K8" s="306">
        <f>E8+G8+I8+J8</f>
        <v>42570</v>
      </c>
      <c r="M8" s="331">
        <v>0.4</v>
      </c>
      <c r="N8" s="332">
        <v>0.3</v>
      </c>
      <c r="O8" s="333">
        <v>0.3</v>
      </c>
      <c r="Q8" s="339">
        <f>K8*M8</f>
        <v>17028</v>
      </c>
      <c r="R8" s="340">
        <f>K8*N8</f>
        <v>12771</v>
      </c>
      <c r="S8" s="341">
        <f>K8*O8</f>
        <v>12771</v>
      </c>
      <c r="T8" s="101">
        <f t="shared" si="0"/>
        <v>42570</v>
      </c>
      <c r="U8" s="109" t="str">
        <f t="shared" si="1"/>
        <v>OK</v>
      </c>
    </row>
    <row r="9" spans="1:21" x14ac:dyDescent="0.2">
      <c r="B9" t="s">
        <v>493</v>
      </c>
      <c r="C9" s="104">
        <v>75000</v>
      </c>
      <c r="D9" s="103">
        <v>0</v>
      </c>
      <c r="E9" s="105">
        <f>C9*D9</f>
        <v>0</v>
      </c>
      <c r="F9" s="320">
        <v>0.12</v>
      </c>
      <c r="G9" s="321">
        <f>E9*F9</f>
        <v>0</v>
      </c>
      <c r="H9" s="320">
        <v>0.1</v>
      </c>
      <c r="I9" s="321">
        <f>E9*H9</f>
        <v>0</v>
      </c>
      <c r="J9" s="307"/>
      <c r="K9" s="307">
        <f>E9+G9+I9+J9</f>
        <v>0</v>
      </c>
      <c r="M9" s="334">
        <v>1</v>
      </c>
      <c r="N9" s="335">
        <v>0</v>
      </c>
      <c r="O9" s="336">
        <v>0</v>
      </c>
      <c r="Q9" s="339">
        <f>K9*M9</f>
        <v>0</v>
      </c>
      <c r="R9" s="340">
        <f>K9*N9</f>
        <v>0</v>
      </c>
      <c r="S9" s="341">
        <f>K9*O9</f>
        <v>0</v>
      </c>
      <c r="T9" s="101">
        <f t="shared" si="0"/>
        <v>0</v>
      </c>
      <c r="U9" s="109" t="str">
        <f t="shared" si="1"/>
        <v>OK</v>
      </c>
    </row>
    <row r="10" spans="1:21" x14ac:dyDescent="0.2">
      <c r="B10" t="s">
        <v>102</v>
      </c>
      <c r="C10" s="104">
        <v>64000</v>
      </c>
      <c r="D10" s="103">
        <f>3/5</f>
        <v>0.6</v>
      </c>
      <c r="E10" s="105">
        <f>C10*D10</f>
        <v>38400</v>
      </c>
      <c r="F10" s="320">
        <v>0.12</v>
      </c>
      <c r="G10" s="321">
        <f>E10*F10</f>
        <v>4608</v>
      </c>
      <c r="H10" s="320">
        <v>0.1</v>
      </c>
      <c r="I10" s="321">
        <f>E10*H10</f>
        <v>3840</v>
      </c>
      <c r="J10" s="307"/>
      <c r="K10" s="307">
        <f>E10+G10+I10+J10</f>
        <v>46848</v>
      </c>
      <c r="M10" s="334">
        <v>0</v>
      </c>
      <c r="N10" s="335">
        <v>1</v>
      </c>
      <c r="O10" s="336">
        <v>0</v>
      </c>
      <c r="Q10" s="339">
        <f>K10*M10</f>
        <v>0</v>
      </c>
      <c r="R10" s="340">
        <f>K10*N10</f>
        <v>46848</v>
      </c>
      <c r="S10" s="341">
        <f>K10*O10</f>
        <v>0</v>
      </c>
      <c r="T10" s="101">
        <f t="shared" si="0"/>
        <v>46848</v>
      </c>
      <c r="U10" s="109" t="str">
        <f t="shared" si="1"/>
        <v>OK</v>
      </c>
    </row>
    <row r="11" spans="1:21" s="3" customFormat="1" x14ac:dyDescent="0.2">
      <c r="C11" s="188" t="s">
        <v>23</v>
      </c>
      <c r="D11" s="188" t="s">
        <v>23</v>
      </c>
      <c r="E11" s="188"/>
      <c r="F11" s="188"/>
      <c r="G11" s="188"/>
      <c r="H11" s="188"/>
      <c r="I11" s="188"/>
      <c r="J11" s="188"/>
      <c r="K11" s="345">
        <f>SUM(K5:K10)</f>
        <v>240918</v>
      </c>
      <c r="L11" s="188"/>
      <c r="Q11" s="342">
        <f>SUM(Q5:Q10)</f>
        <v>150528</v>
      </c>
      <c r="R11" s="343">
        <f>SUM(R5:R10)</f>
        <v>77619</v>
      </c>
      <c r="S11" s="344">
        <f>SUM(S5:S10)</f>
        <v>12771</v>
      </c>
    </row>
    <row r="12" spans="1:21" x14ac:dyDescent="0.2">
      <c r="C12" s="101" t="s">
        <v>23</v>
      </c>
      <c r="D12" s="101" t="s">
        <v>23</v>
      </c>
      <c r="E12" s="101">
        <f>SUM(E6:E10)</f>
        <v>204600</v>
      </c>
      <c r="Q12" s="346">
        <f>Q11/K11</f>
        <v>0.62481010136228921</v>
      </c>
      <c r="R12" s="347">
        <f>R11/K11</f>
        <v>0.32218016088461632</v>
      </c>
      <c r="S12" s="348">
        <f>S11/K11</f>
        <v>5.3009737753094414E-2</v>
      </c>
      <c r="T12" s="349">
        <f>SUM(Q12:S12)</f>
        <v>0.99999999999999989</v>
      </c>
      <c r="U12" s="109" t="str">
        <f>IF(T12=100%, "OK", "error")</f>
        <v>OK</v>
      </c>
    </row>
    <row r="13" spans="1:21" x14ac:dyDescent="0.2">
      <c r="C13" s="102" t="s">
        <v>23</v>
      </c>
      <c r="D13" s="101" t="s">
        <v>23</v>
      </c>
    </row>
    <row r="15" spans="1:21" x14ac:dyDescent="0.2">
      <c r="D15" s="617">
        <v>2025</v>
      </c>
    </row>
    <row r="16" spans="1:21" x14ac:dyDescent="0.2">
      <c r="C16" s="101" t="s">
        <v>23</v>
      </c>
      <c r="D16" s="101" t="s">
        <v>607</v>
      </c>
      <c r="E16" s="101">
        <v>75000</v>
      </c>
      <c r="F16" s="101">
        <f>E16*12%</f>
        <v>9000</v>
      </c>
      <c r="G16" s="101">
        <f>E16+F16</f>
        <v>84000</v>
      </c>
    </row>
    <row r="17" spans="4:7" x14ac:dyDescent="0.2">
      <c r="D17" s="101" t="s">
        <v>608</v>
      </c>
      <c r="E17" s="101">
        <v>35000</v>
      </c>
      <c r="F17" s="101">
        <f>E17*12%</f>
        <v>4200</v>
      </c>
      <c r="G17" s="101">
        <f>E17+F17</f>
        <v>39200</v>
      </c>
    </row>
    <row r="18" spans="4:7" x14ac:dyDescent="0.2">
      <c r="D18" s="101" t="s">
        <v>609</v>
      </c>
      <c r="E18" s="101">
        <v>25000</v>
      </c>
      <c r="F18" s="101" t="s">
        <v>23</v>
      </c>
      <c r="G18" s="101" t="s">
        <v>23</v>
      </c>
    </row>
    <row r="19" spans="4:7" x14ac:dyDescent="0.2">
      <c r="D19" s="101" t="s">
        <v>610</v>
      </c>
    </row>
    <row r="20" spans="4:7" x14ac:dyDescent="0.2">
      <c r="D20" s="101" t="s">
        <v>611</v>
      </c>
      <c r="E20" s="101">
        <v>100000</v>
      </c>
    </row>
    <row r="21" spans="4:7" x14ac:dyDescent="0.2">
      <c r="D21" s="101" t="s">
        <v>612</v>
      </c>
      <c r="E21" s="101">
        <v>50000</v>
      </c>
    </row>
    <row r="22" spans="4:7" x14ac:dyDescent="0.2">
      <c r="E22" s="101">
        <f>SUM(E16:E21)</f>
        <v>285000</v>
      </c>
      <c r="F22" s="101">
        <f>SUM(F16:F21)</f>
        <v>13200</v>
      </c>
      <c r="G22" s="101">
        <f>SUM(G16:G21)</f>
        <v>123200</v>
      </c>
    </row>
  </sheetData>
  <mergeCells count="4">
    <mergeCell ref="M2:O2"/>
    <mergeCell ref="F2:G2"/>
    <mergeCell ref="Q2:S2"/>
    <mergeCell ref="H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A916C-A233-1640-A81F-086004B9B0CD}">
  <dimension ref="A1:R39"/>
  <sheetViews>
    <sheetView zoomScale="254" workbookViewId="0">
      <selection activeCell="G26" sqref="G26"/>
    </sheetView>
  </sheetViews>
  <sheetFormatPr baseColWidth="10" defaultColWidth="7.5" defaultRowHeight="13" x14ac:dyDescent="0.2"/>
  <cols>
    <col min="1" max="1" width="6.6640625" style="149" customWidth="1"/>
    <col min="2" max="2" width="14.5" style="149" customWidth="1"/>
    <col min="3" max="3" width="15.5" style="149" customWidth="1"/>
    <col min="4" max="4" width="4.83203125" style="187" customWidth="1"/>
    <col min="5" max="5" width="3.83203125" style="187" customWidth="1"/>
    <col min="6" max="9" width="4.83203125" style="187" customWidth="1"/>
    <col min="10" max="10" width="3.83203125" style="187" customWidth="1"/>
    <col min="11" max="13" width="4.83203125" style="187" customWidth="1"/>
    <col min="14" max="14" width="1" style="187" customWidth="1"/>
    <col min="15" max="15" width="2.83203125" style="187" customWidth="1"/>
    <col min="16" max="16" width="4.83203125" style="187" customWidth="1"/>
    <col min="17" max="17" width="6.6640625" style="149" customWidth="1"/>
    <col min="18" max="18" width="9.6640625" style="149" customWidth="1"/>
    <col min="19" max="16384" width="7.5" style="149"/>
  </cols>
  <sheetData>
    <row r="1" spans="1:17" ht="24.75" customHeight="1" x14ac:dyDescent="0.2">
      <c r="A1" s="687" t="s">
        <v>203</v>
      </c>
      <c r="B1" s="688"/>
      <c r="C1" s="688"/>
      <c r="D1" s="688"/>
      <c r="E1" s="688"/>
      <c r="F1" s="688"/>
      <c r="G1" s="688"/>
      <c r="H1" s="688"/>
      <c r="I1" s="688"/>
      <c r="J1" s="688"/>
      <c r="K1" s="688"/>
      <c r="L1" s="688"/>
      <c r="M1" s="688"/>
      <c r="N1" s="688"/>
      <c r="O1" s="688"/>
      <c r="P1" s="688"/>
      <c r="Q1" s="689"/>
    </row>
    <row r="2" spans="1:17" ht="8.25" customHeight="1" x14ac:dyDescent="0.15">
      <c r="A2" s="150"/>
      <c r="B2" s="150"/>
      <c r="C2" s="150"/>
      <c r="D2" s="668"/>
      <c r="E2" s="669"/>
      <c r="F2" s="669"/>
      <c r="G2" s="669"/>
      <c r="H2" s="669"/>
      <c r="I2" s="669"/>
      <c r="J2" s="669"/>
      <c r="K2" s="669"/>
      <c r="L2" s="669"/>
      <c r="M2" s="669"/>
      <c r="N2" s="669"/>
      <c r="O2" s="669"/>
      <c r="P2" s="670"/>
      <c r="Q2" s="150"/>
    </row>
    <row r="3" spans="1:17" ht="8.25" customHeight="1" x14ac:dyDescent="0.2">
      <c r="A3" s="151" t="s">
        <v>204</v>
      </c>
      <c r="B3" s="152" t="s">
        <v>205</v>
      </c>
      <c r="C3" s="152" t="s">
        <v>206</v>
      </c>
      <c r="D3" s="166" t="s">
        <v>207</v>
      </c>
      <c r="E3" s="167" t="s">
        <v>208</v>
      </c>
      <c r="F3" s="167" t="s">
        <v>209</v>
      </c>
      <c r="G3" s="167" t="s">
        <v>210</v>
      </c>
      <c r="H3" s="167" t="s">
        <v>211</v>
      </c>
      <c r="I3" s="167" t="s">
        <v>212</v>
      </c>
      <c r="J3" s="167" t="s">
        <v>213</v>
      </c>
      <c r="K3" s="167" t="s">
        <v>214</v>
      </c>
      <c r="L3" s="167" t="s">
        <v>215</v>
      </c>
      <c r="M3" s="167" t="s">
        <v>216</v>
      </c>
      <c r="N3" s="690" t="s">
        <v>217</v>
      </c>
      <c r="O3" s="690"/>
      <c r="P3" s="168" t="s">
        <v>218</v>
      </c>
      <c r="Q3" s="153" t="s">
        <v>219</v>
      </c>
    </row>
    <row r="4" spans="1:17" ht="8.25" customHeight="1" x14ac:dyDescent="0.15">
      <c r="A4" s="150"/>
      <c r="B4" s="666" t="s">
        <v>220</v>
      </c>
      <c r="C4" s="667"/>
      <c r="D4" s="668"/>
      <c r="E4" s="669"/>
      <c r="F4" s="669"/>
      <c r="G4" s="669"/>
      <c r="H4" s="669"/>
      <c r="I4" s="669"/>
      <c r="J4" s="669"/>
      <c r="K4" s="669"/>
      <c r="L4" s="669"/>
      <c r="M4" s="669"/>
      <c r="N4" s="669"/>
      <c r="O4" s="669"/>
      <c r="P4" s="670"/>
      <c r="Q4" s="150"/>
    </row>
    <row r="5" spans="1:17" ht="8.75" customHeight="1" x14ac:dyDescent="0.2">
      <c r="A5" s="671"/>
      <c r="B5" s="154" t="s">
        <v>221</v>
      </c>
      <c r="C5" s="154" t="s">
        <v>222</v>
      </c>
      <c r="D5" s="169">
        <v>45</v>
      </c>
      <c r="E5" s="170">
        <v>45</v>
      </c>
      <c r="F5" s="170">
        <v>45</v>
      </c>
      <c r="G5" s="170">
        <v>45</v>
      </c>
      <c r="H5" s="170">
        <v>45</v>
      </c>
      <c r="I5" s="170">
        <v>45</v>
      </c>
      <c r="J5" s="170">
        <v>45</v>
      </c>
      <c r="K5" s="170">
        <v>45</v>
      </c>
      <c r="L5" s="170">
        <v>45</v>
      </c>
      <c r="M5" s="170">
        <v>45</v>
      </c>
      <c r="N5" s="674">
        <v>45</v>
      </c>
      <c r="O5" s="674"/>
      <c r="P5" s="171">
        <v>45</v>
      </c>
      <c r="Q5" s="155">
        <f>SUM(D5:P5)</f>
        <v>540</v>
      </c>
    </row>
    <row r="6" spans="1:17" ht="8.25" customHeight="1" x14ac:dyDescent="0.15">
      <c r="A6" s="672"/>
      <c r="B6" s="156" t="s">
        <v>223</v>
      </c>
      <c r="C6" s="157"/>
      <c r="D6" s="172"/>
      <c r="E6" s="173"/>
      <c r="F6" s="173"/>
      <c r="G6" s="174">
        <v>100</v>
      </c>
      <c r="H6" s="173"/>
      <c r="I6" s="173"/>
      <c r="J6" s="173"/>
      <c r="K6" s="173"/>
      <c r="L6" s="173"/>
      <c r="M6" s="173"/>
      <c r="N6" s="685"/>
      <c r="O6" s="685"/>
      <c r="P6" s="175"/>
      <c r="Q6" s="158">
        <f t="shared" ref="Q6:Q12" si="0">SUM(D6:P6)</f>
        <v>100</v>
      </c>
    </row>
    <row r="7" spans="1:17" ht="8.25" customHeight="1" x14ac:dyDescent="0.15">
      <c r="A7" s="672"/>
      <c r="B7" s="156" t="s">
        <v>224</v>
      </c>
      <c r="C7" s="157"/>
      <c r="D7" s="176">
        <v>15</v>
      </c>
      <c r="E7" s="174">
        <v>15</v>
      </c>
      <c r="F7" s="174">
        <v>15</v>
      </c>
      <c r="G7" s="174">
        <v>15</v>
      </c>
      <c r="H7" s="174">
        <v>15</v>
      </c>
      <c r="I7" s="174">
        <v>15</v>
      </c>
      <c r="J7" s="174">
        <v>15</v>
      </c>
      <c r="K7" s="174">
        <v>15</v>
      </c>
      <c r="L7" s="174">
        <v>15</v>
      </c>
      <c r="M7" s="174">
        <v>15</v>
      </c>
      <c r="N7" s="675">
        <v>15</v>
      </c>
      <c r="O7" s="675"/>
      <c r="P7" s="177">
        <v>15</v>
      </c>
      <c r="Q7" s="158">
        <f t="shared" si="0"/>
        <v>180</v>
      </c>
    </row>
    <row r="8" spans="1:17" ht="8.25" customHeight="1" x14ac:dyDescent="0.15">
      <c r="A8" s="672"/>
      <c r="B8" s="156" t="s">
        <v>225</v>
      </c>
      <c r="C8" s="156" t="s">
        <v>226</v>
      </c>
      <c r="D8" s="176">
        <v>400</v>
      </c>
      <c r="E8" s="173"/>
      <c r="F8" s="173"/>
      <c r="G8" s="173"/>
      <c r="H8" s="174">
        <v>200</v>
      </c>
      <c r="I8" s="173"/>
      <c r="J8" s="173"/>
      <c r="K8" s="173"/>
      <c r="L8" s="173"/>
      <c r="M8" s="173"/>
      <c r="N8" s="685"/>
      <c r="O8" s="685"/>
      <c r="P8" s="175"/>
      <c r="Q8" s="158">
        <f t="shared" si="0"/>
        <v>600</v>
      </c>
    </row>
    <row r="9" spans="1:17" ht="8.25" customHeight="1" x14ac:dyDescent="0.15">
      <c r="A9" s="672"/>
      <c r="B9" s="156" t="s">
        <v>227</v>
      </c>
      <c r="C9" s="156" t="s">
        <v>228</v>
      </c>
      <c r="D9" s="172"/>
      <c r="E9" s="173"/>
      <c r="F9" s="173"/>
      <c r="G9" s="173"/>
      <c r="H9" s="174">
        <v>800</v>
      </c>
      <c r="I9" s="173"/>
      <c r="J9" s="173"/>
      <c r="K9" s="173"/>
      <c r="L9" s="173"/>
      <c r="M9" s="173"/>
      <c r="N9" s="685"/>
      <c r="O9" s="685"/>
      <c r="P9" s="175"/>
      <c r="Q9" s="158">
        <f t="shared" si="0"/>
        <v>800</v>
      </c>
    </row>
    <row r="10" spans="1:17" ht="8.25" customHeight="1" x14ac:dyDescent="0.2">
      <c r="A10" s="672"/>
      <c r="B10" s="156" t="s">
        <v>229</v>
      </c>
      <c r="C10" s="156" t="s">
        <v>230</v>
      </c>
      <c r="D10" s="176">
        <v>179</v>
      </c>
      <c r="E10" s="174">
        <v>179</v>
      </c>
      <c r="F10" s="174">
        <v>179</v>
      </c>
      <c r="G10" s="174">
        <v>179</v>
      </c>
      <c r="H10" s="174">
        <v>179</v>
      </c>
      <c r="I10" s="174">
        <v>179</v>
      </c>
      <c r="J10" s="174">
        <v>179</v>
      </c>
      <c r="K10" s="174">
        <v>179</v>
      </c>
      <c r="L10" s="174">
        <v>179</v>
      </c>
      <c r="M10" s="174">
        <v>179</v>
      </c>
      <c r="N10" s="675">
        <v>179</v>
      </c>
      <c r="O10" s="675"/>
      <c r="P10" s="177">
        <v>179</v>
      </c>
      <c r="Q10" s="159">
        <f t="shared" si="0"/>
        <v>2148</v>
      </c>
    </row>
    <row r="11" spans="1:17" ht="8.25" customHeight="1" x14ac:dyDescent="0.15">
      <c r="A11" s="672"/>
      <c r="B11" s="156" t="s">
        <v>231</v>
      </c>
      <c r="C11" s="157"/>
      <c r="D11" s="172"/>
      <c r="E11" s="173"/>
      <c r="F11" s="173"/>
      <c r="G11" s="174">
        <v>1200</v>
      </c>
      <c r="H11" s="173"/>
      <c r="I11" s="173"/>
      <c r="J11" s="173"/>
      <c r="K11" s="173"/>
      <c r="L11" s="173"/>
      <c r="M11" s="173"/>
      <c r="N11" s="685"/>
      <c r="O11" s="685"/>
      <c r="P11" s="175"/>
      <c r="Q11" s="159">
        <f t="shared" si="0"/>
        <v>1200</v>
      </c>
    </row>
    <row r="12" spans="1:17" ht="8.25" customHeight="1" x14ac:dyDescent="0.15">
      <c r="A12" s="673"/>
      <c r="B12" s="160" t="s">
        <v>263</v>
      </c>
      <c r="C12" s="160" t="s">
        <v>232</v>
      </c>
      <c r="D12" s="178">
        <v>300</v>
      </c>
      <c r="E12" s="179"/>
      <c r="F12" s="179"/>
      <c r="G12" s="179"/>
      <c r="H12" s="179"/>
      <c r="I12" s="179"/>
      <c r="J12" s="179"/>
      <c r="K12" s="179"/>
      <c r="L12" s="179"/>
      <c r="M12" s="179"/>
      <c r="N12" s="686"/>
      <c r="O12" s="686"/>
      <c r="P12" s="180"/>
      <c r="Q12" s="161">
        <f t="shared" si="0"/>
        <v>300</v>
      </c>
    </row>
    <row r="13" spans="1:17" ht="8.25" customHeight="1" x14ac:dyDescent="0.15">
      <c r="A13" s="150"/>
      <c r="B13" s="666" t="s">
        <v>233</v>
      </c>
      <c r="C13" s="667"/>
      <c r="D13" s="668"/>
      <c r="E13" s="669"/>
      <c r="F13" s="669"/>
      <c r="G13" s="669"/>
      <c r="H13" s="669"/>
      <c r="I13" s="669"/>
      <c r="J13" s="669"/>
      <c r="K13" s="669"/>
      <c r="L13" s="669"/>
      <c r="M13" s="669"/>
      <c r="N13" s="669"/>
      <c r="O13" s="669"/>
      <c r="P13" s="670"/>
      <c r="Q13" s="162">
        <f>SUM(Q5:Q12)</f>
        <v>5868</v>
      </c>
    </row>
    <row r="14" spans="1:17" ht="8.25" customHeight="1" x14ac:dyDescent="0.15">
      <c r="A14" s="150"/>
      <c r="B14" s="150"/>
      <c r="C14" s="150"/>
      <c r="D14" s="668"/>
      <c r="E14" s="669"/>
      <c r="F14" s="669"/>
      <c r="G14" s="669"/>
      <c r="H14" s="669"/>
      <c r="I14" s="669"/>
      <c r="J14" s="669"/>
      <c r="K14" s="669"/>
      <c r="L14" s="669"/>
      <c r="M14" s="669"/>
      <c r="N14" s="669"/>
      <c r="O14" s="669"/>
      <c r="P14" s="670"/>
      <c r="Q14" s="150"/>
    </row>
    <row r="15" spans="1:17" ht="8.25" customHeight="1" x14ac:dyDescent="0.15">
      <c r="A15" s="150"/>
      <c r="B15" s="666" t="s">
        <v>234</v>
      </c>
      <c r="C15" s="667"/>
      <c r="D15" s="668"/>
      <c r="E15" s="669"/>
      <c r="F15" s="669"/>
      <c r="G15" s="669"/>
      <c r="H15" s="669"/>
      <c r="I15" s="669"/>
      <c r="J15" s="669"/>
      <c r="K15" s="669"/>
      <c r="L15" s="669"/>
      <c r="M15" s="669"/>
      <c r="N15" s="669"/>
      <c r="O15" s="669"/>
      <c r="P15" s="670"/>
      <c r="Q15" s="150"/>
    </row>
    <row r="16" spans="1:17" ht="8.75" customHeight="1" x14ac:dyDescent="0.15">
      <c r="A16" s="671"/>
      <c r="B16" s="154" t="s">
        <v>235</v>
      </c>
      <c r="C16" s="154" t="s">
        <v>236</v>
      </c>
      <c r="D16" s="181"/>
      <c r="E16" s="170">
        <v>1100</v>
      </c>
      <c r="F16" s="182"/>
      <c r="G16" s="182"/>
      <c r="H16" s="182"/>
      <c r="I16" s="182"/>
      <c r="J16" s="182"/>
      <c r="K16" s="182"/>
      <c r="L16" s="182"/>
      <c r="M16" s="182"/>
      <c r="N16" s="684"/>
      <c r="O16" s="684"/>
      <c r="P16" s="183"/>
      <c r="Q16" s="163">
        <f t="shared" ref="Q16:Q24" si="1">SUM(D16:P16)</f>
        <v>1100</v>
      </c>
    </row>
    <row r="17" spans="1:17" ht="8.25" customHeight="1" x14ac:dyDescent="0.15">
      <c r="A17" s="672"/>
      <c r="B17" s="156" t="s">
        <v>237</v>
      </c>
      <c r="C17" s="156" t="s">
        <v>238</v>
      </c>
      <c r="D17" s="176">
        <v>1000</v>
      </c>
      <c r="E17" s="173"/>
      <c r="F17" s="173"/>
      <c r="G17" s="173"/>
      <c r="H17" s="173"/>
      <c r="I17" s="173"/>
      <c r="J17" s="173"/>
      <c r="K17" s="173"/>
      <c r="L17" s="173"/>
      <c r="M17" s="173"/>
      <c r="N17" s="685"/>
      <c r="O17" s="685"/>
      <c r="P17" s="175"/>
      <c r="Q17" s="159">
        <f t="shared" si="1"/>
        <v>1000</v>
      </c>
    </row>
    <row r="18" spans="1:17" ht="8.25" customHeight="1" x14ac:dyDescent="0.15">
      <c r="A18" s="672"/>
      <c r="B18" s="156" t="s">
        <v>239</v>
      </c>
      <c r="C18" s="156" t="s">
        <v>240</v>
      </c>
      <c r="D18" s="172"/>
      <c r="E18" s="173"/>
      <c r="F18" s="174">
        <v>1800</v>
      </c>
      <c r="G18" s="173"/>
      <c r="H18" s="173"/>
      <c r="I18" s="173"/>
      <c r="J18" s="173"/>
      <c r="K18" s="173"/>
      <c r="L18" s="173"/>
      <c r="M18" s="173"/>
      <c r="N18" s="685"/>
      <c r="O18" s="685"/>
      <c r="P18" s="175"/>
      <c r="Q18" s="159">
        <f t="shared" si="1"/>
        <v>1800</v>
      </c>
    </row>
    <row r="19" spans="1:17" ht="8.25" customHeight="1" x14ac:dyDescent="0.15">
      <c r="A19" s="672"/>
      <c r="B19" s="156" t="s">
        <v>241</v>
      </c>
      <c r="C19" s="156" t="s">
        <v>242</v>
      </c>
      <c r="D19" s="172"/>
      <c r="E19" s="173"/>
      <c r="F19" s="173"/>
      <c r="G19" s="173"/>
      <c r="H19" s="173"/>
      <c r="I19" s="174">
        <v>200</v>
      </c>
      <c r="J19" s="173"/>
      <c r="K19" s="174">
        <v>300</v>
      </c>
      <c r="L19" s="173"/>
      <c r="M19" s="173"/>
      <c r="N19" s="685"/>
      <c r="O19" s="685"/>
      <c r="P19" s="177">
        <v>200</v>
      </c>
      <c r="Q19" s="158">
        <f t="shared" si="1"/>
        <v>700</v>
      </c>
    </row>
    <row r="20" spans="1:17" ht="8.25" customHeight="1" x14ac:dyDescent="0.15">
      <c r="A20" s="672"/>
      <c r="B20" s="156" t="s">
        <v>243</v>
      </c>
      <c r="C20" s="156" t="s">
        <v>244</v>
      </c>
      <c r="D20" s="172"/>
      <c r="E20" s="173"/>
      <c r="F20" s="173"/>
      <c r="G20" s="174">
        <v>450</v>
      </c>
      <c r="H20" s="173"/>
      <c r="I20" s="173"/>
      <c r="J20" s="173"/>
      <c r="K20" s="173"/>
      <c r="L20" s="173"/>
      <c r="M20" s="173"/>
      <c r="N20" s="685"/>
      <c r="O20" s="685"/>
      <c r="P20" s="175"/>
      <c r="Q20" s="158">
        <f t="shared" si="1"/>
        <v>450</v>
      </c>
    </row>
    <row r="21" spans="1:17" ht="8.25" customHeight="1" x14ac:dyDescent="0.15">
      <c r="A21" s="672"/>
      <c r="B21" s="156" t="s">
        <v>245</v>
      </c>
      <c r="C21" s="156" t="s">
        <v>246</v>
      </c>
      <c r="D21" s="172"/>
      <c r="E21" s="174">
        <v>200</v>
      </c>
      <c r="F21" s="173"/>
      <c r="G21" s="173"/>
      <c r="H21" s="173"/>
      <c r="I21" s="173"/>
      <c r="J21" s="173"/>
      <c r="K21" s="174">
        <v>100</v>
      </c>
      <c r="L21" s="173"/>
      <c r="M21" s="173"/>
      <c r="N21" s="685"/>
      <c r="O21" s="685"/>
      <c r="P21" s="175"/>
      <c r="Q21" s="158">
        <f t="shared" si="1"/>
        <v>300</v>
      </c>
    </row>
    <row r="22" spans="1:17" ht="8.25" customHeight="1" x14ac:dyDescent="0.15">
      <c r="A22" s="672"/>
      <c r="B22" s="156" t="s">
        <v>247</v>
      </c>
      <c r="C22" s="156" t="s">
        <v>246</v>
      </c>
      <c r="D22" s="172"/>
      <c r="E22" s="174">
        <v>200</v>
      </c>
      <c r="F22" s="173"/>
      <c r="G22" s="173"/>
      <c r="H22" s="173"/>
      <c r="I22" s="173"/>
      <c r="J22" s="173"/>
      <c r="K22" s="174">
        <v>100</v>
      </c>
      <c r="L22" s="173"/>
      <c r="M22" s="173"/>
      <c r="N22" s="685"/>
      <c r="O22" s="685"/>
      <c r="P22" s="175"/>
      <c r="Q22" s="158">
        <f t="shared" si="1"/>
        <v>300</v>
      </c>
    </row>
    <row r="23" spans="1:17" ht="8.25" customHeight="1" x14ac:dyDescent="0.15">
      <c r="A23" s="672"/>
      <c r="B23" s="156" t="s">
        <v>248</v>
      </c>
      <c r="C23" s="156" t="s">
        <v>232</v>
      </c>
      <c r="D23" s="172"/>
      <c r="E23" s="173"/>
      <c r="F23" s="173"/>
      <c r="G23" s="173"/>
      <c r="H23" s="173"/>
      <c r="I23" s="173"/>
      <c r="J23" s="173"/>
      <c r="K23" s="173"/>
      <c r="L23" s="173"/>
      <c r="M23" s="173"/>
      <c r="N23" s="685"/>
      <c r="O23" s="685"/>
      <c r="P23" s="177">
        <v>750</v>
      </c>
      <c r="Q23" s="158">
        <f t="shared" si="1"/>
        <v>750</v>
      </c>
    </row>
    <row r="24" spans="1:17" ht="8.25" customHeight="1" x14ac:dyDescent="0.15">
      <c r="A24" s="673"/>
      <c r="B24" s="160" t="s">
        <v>249</v>
      </c>
      <c r="C24" s="164"/>
      <c r="D24" s="184"/>
      <c r="E24" s="179"/>
      <c r="F24" s="179"/>
      <c r="G24" s="179"/>
      <c r="H24" s="179"/>
      <c r="I24" s="179"/>
      <c r="J24" s="185">
        <v>500</v>
      </c>
      <c r="K24" s="179"/>
      <c r="L24" s="179"/>
      <c r="M24" s="185">
        <v>500</v>
      </c>
      <c r="N24" s="686"/>
      <c r="O24" s="686"/>
      <c r="P24" s="180"/>
      <c r="Q24" s="165">
        <f t="shared" si="1"/>
        <v>1000</v>
      </c>
    </row>
    <row r="25" spans="1:17" ht="8.25" customHeight="1" x14ac:dyDescent="0.15">
      <c r="A25" s="150"/>
      <c r="B25" s="666" t="s">
        <v>250</v>
      </c>
      <c r="C25" s="667"/>
      <c r="D25" s="668"/>
      <c r="E25" s="669"/>
      <c r="F25" s="669"/>
      <c r="G25" s="669"/>
      <c r="H25" s="669"/>
      <c r="I25" s="669"/>
      <c r="J25" s="669"/>
      <c r="K25" s="669"/>
      <c r="L25" s="669"/>
      <c r="M25" s="669"/>
      <c r="N25" s="669"/>
      <c r="O25" s="669"/>
      <c r="P25" s="670"/>
      <c r="Q25" s="162">
        <f>SUM(Q16:Q24)</f>
        <v>7400</v>
      </c>
    </row>
    <row r="26" spans="1:17" ht="8.25" customHeight="1" x14ac:dyDescent="0.15">
      <c r="A26" s="150"/>
      <c r="B26" s="150"/>
      <c r="C26" s="150"/>
      <c r="D26" s="668"/>
      <c r="E26" s="669"/>
      <c r="F26" s="669"/>
      <c r="G26" s="669"/>
      <c r="H26" s="669"/>
      <c r="I26" s="669"/>
      <c r="J26" s="669"/>
      <c r="K26" s="669"/>
      <c r="L26" s="669"/>
      <c r="M26" s="669"/>
      <c r="N26" s="669"/>
      <c r="O26" s="669"/>
      <c r="P26" s="670"/>
      <c r="Q26" s="150"/>
    </row>
    <row r="27" spans="1:17" ht="8.25" customHeight="1" x14ac:dyDescent="0.15">
      <c r="A27" s="150"/>
      <c r="B27" s="666" t="s">
        <v>251</v>
      </c>
      <c r="C27" s="667"/>
      <c r="D27" s="668"/>
      <c r="E27" s="669"/>
      <c r="F27" s="669"/>
      <c r="G27" s="669"/>
      <c r="H27" s="669"/>
      <c r="I27" s="669"/>
      <c r="J27" s="669"/>
      <c r="K27" s="669"/>
      <c r="L27" s="669"/>
      <c r="M27" s="669"/>
      <c r="N27" s="669"/>
      <c r="O27" s="669"/>
      <c r="P27" s="670"/>
      <c r="Q27" s="150"/>
    </row>
    <row r="28" spans="1:17" ht="8.75" customHeight="1" x14ac:dyDescent="0.15">
      <c r="A28" s="671"/>
      <c r="B28" s="154" t="s">
        <v>252</v>
      </c>
      <c r="C28" s="681" t="s">
        <v>253</v>
      </c>
      <c r="D28" s="169">
        <v>50</v>
      </c>
      <c r="E28" s="182"/>
      <c r="F28" s="182"/>
      <c r="G28" s="170">
        <v>50</v>
      </c>
      <c r="H28" s="182"/>
      <c r="I28" s="182"/>
      <c r="J28" s="182"/>
      <c r="K28" s="170">
        <v>50</v>
      </c>
      <c r="L28" s="182"/>
      <c r="M28" s="182"/>
      <c r="N28" s="684"/>
      <c r="O28" s="684"/>
      <c r="P28" s="171">
        <v>50</v>
      </c>
      <c r="Q28" s="155">
        <f>SUM(D28:P28)</f>
        <v>200</v>
      </c>
    </row>
    <row r="29" spans="1:17" ht="8.25" customHeight="1" x14ac:dyDescent="0.15">
      <c r="A29" s="672"/>
      <c r="B29" s="156" t="s">
        <v>254</v>
      </c>
      <c r="C29" s="682"/>
      <c r="D29" s="172"/>
      <c r="E29" s="174">
        <v>15</v>
      </c>
      <c r="F29" s="173"/>
      <c r="G29" s="173"/>
      <c r="H29" s="173"/>
      <c r="I29" s="173"/>
      <c r="J29" s="174">
        <v>15</v>
      </c>
      <c r="K29" s="173"/>
      <c r="L29" s="173"/>
      <c r="M29" s="174">
        <v>15</v>
      </c>
      <c r="N29" s="685"/>
      <c r="O29" s="685"/>
      <c r="P29" s="175"/>
      <c r="Q29" s="158">
        <f>SUM(D29:P29)</f>
        <v>45</v>
      </c>
    </row>
    <row r="30" spans="1:17" ht="8.25" customHeight="1" x14ac:dyDescent="0.15">
      <c r="A30" s="673"/>
      <c r="B30" s="160" t="s">
        <v>255</v>
      </c>
      <c r="C30" s="683"/>
      <c r="D30" s="178">
        <v>100</v>
      </c>
      <c r="E30" s="179"/>
      <c r="F30" s="185">
        <v>100</v>
      </c>
      <c r="G30" s="185">
        <v>100</v>
      </c>
      <c r="H30" s="185">
        <v>100</v>
      </c>
      <c r="I30" s="185">
        <v>100</v>
      </c>
      <c r="J30" s="185">
        <v>100</v>
      </c>
      <c r="K30" s="185">
        <v>100</v>
      </c>
      <c r="L30" s="185">
        <v>100</v>
      </c>
      <c r="M30" s="185">
        <v>100</v>
      </c>
      <c r="N30" s="676">
        <v>100</v>
      </c>
      <c r="O30" s="676"/>
      <c r="P30" s="186">
        <v>100</v>
      </c>
      <c r="Q30" s="165">
        <f>SUM(D30:P30)</f>
        <v>1100</v>
      </c>
    </row>
    <row r="31" spans="1:17" ht="8.25" customHeight="1" x14ac:dyDescent="0.15">
      <c r="A31" s="150"/>
      <c r="B31" s="666" t="s">
        <v>256</v>
      </c>
      <c r="C31" s="667"/>
      <c r="D31" s="668"/>
      <c r="E31" s="669"/>
      <c r="F31" s="669"/>
      <c r="G31" s="669"/>
      <c r="H31" s="669"/>
      <c r="I31" s="669"/>
      <c r="J31" s="669"/>
      <c r="K31" s="669"/>
      <c r="L31" s="669"/>
      <c r="M31" s="669"/>
      <c r="N31" s="669"/>
      <c r="O31" s="669"/>
      <c r="P31" s="670"/>
      <c r="Q31" s="162">
        <f>SUM(Q28:Q30)</f>
        <v>1345</v>
      </c>
    </row>
    <row r="32" spans="1:17" ht="8.25" customHeight="1" x14ac:dyDescent="0.15">
      <c r="A32" s="150"/>
      <c r="B32" s="150"/>
      <c r="C32" s="150"/>
      <c r="D32" s="668"/>
      <c r="E32" s="669"/>
      <c r="F32" s="669"/>
      <c r="G32" s="669"/>
      <c r="H32" s="669"/>
      <c r="I32" s="669"/>
      <c r="J32" s="669"/>
      <c r="K32" s="669"/>
      <c r="L32" s="669"/>
      <c r="M32" s="669"/>
      <c r="N32" s="669"/>
      <c r="O32" s="669"/>
      <c r="P32" s="670"/>
      <c r="Q32" s="150"/>
    </row>
    <row r="33" spans="1:18" ht="16.5" customHeight="1" x14ac:dyDescent="0.2">
      <c r="A33" s="677" t="s">
        <v>257</v>
      </c>
      <c r="B33" s="678"/>
      <c r="C33" s="678"/>
      <c r="D33" s="678"/>
      <c r="E33" s="678"/>
      <c r="F33" s="678"/>
      <c r="G33" s="678"/>
      <c r="H33" s="678"/>
      <c r="I33" s="678"/>
      <c r="J33" s="678"/>
      <c r="K33" s="678"/>
      <c r="L33" s="678"/>
      <c r="M33" s="678"/>
      <c r="N33" s="678"/>
      <c r="O33" s="678"/>
      <c r="P33" s="678"/>
      <c r="Q33" s="679"/>
    </row>
    <row r="34" spans="1:18" ht="6.25" customHeight="1" x14ac:dyDescent="0.15">
      <c r="A34" s="680"/>
      <c r="B34" s="680"/>
      <c r="C34" s="680"/>
      <c r="D34" s="680"/>
      <c r="E34" s="680"/>
      <c r="F34" s="680"/>
      <c r="G34" s="680"/>
      <c r="H34" s="680"/>
      <c r="I34" s="680"/>
      <c r="J34" s="680"/>
      <c r="K34" s="680"/>
      <c r="L34" s="680"/>
      <c r="M34" s="680"/>
      <c r="N34" s="680"/>
      <c r="O34" s="680"/>
      <c r="P34" s="680"/>
      <c r="Q34" s="680"/>
      <c r="R34" s="680"/>
    </row>
    <row r="35" spans="1:18" ht="8.25" customHeight="1" x14ac:dyDescent="0.15">
      <c r="A35" s="150"/>
      <c r="B35" s="666" t="s">
        <v>258</v>
      </c>
      <c r="C35" s="667"/>
      <c r="D35" s="668"/>
      <c r="E35" s="669"/>
      <c r="F35" s="669"/>
      <c r="G35" s="669"/>
      <c r="H35" s="669"/>
      <c r="I35" s="669"/>
      <c r="J35" s="669"/>
      <c r="K35" s="669"/>
      <c r="L35" s="669"/>
      <c r="M35" s="669"/>
      <c r="N35" s="669"/>
      <c r="O35" s="669"/>
      <c r="P35" s="670"/>
      <c r="Q35" s="150"/>
    </row>
    <row r="36" spans="1:18" ht="8.75" customHeight="1" x14ac:dyDescent="0.2">
      <c r="A36" s="671"/>
      <c r="B36" s="154" t="s">
        <v>259</v>
      </c>
      <c r="C36" s="671"/>
      <c r="D36" s="169">
        <v>20</v>
      </c>
      <c r="E36" s="170">
        <v>20</v>
      </c>
      <c r="F36" s="170">
        <v>20</v>
      </c>
      <c r="G36" s="170">
        <v>20</v>
      </c>
      <c r="H36" s="170">
        <v>20</v>
      </c>
      <c r="I36" s="170">
        <v>20</v>
      </c>
      <c r="J36" s="170">
        <v>20</v>
      </c>
      <c r="K36" s="170">
        <v>20</v>
      </c>
      <c r="L36" s="170">
        <v>20</v>
      </c>
      <c r="M36" s="170">
        <v>20</v>
      </c>
      <c r="N36" s="674">
        <v>20</v>
      </c>
      <c r="O36" s="674"/>
      <c r="P36" s="171">
        <v>20</v>
      </c>
      <c r="Q36" s="155">
        <f>SUM(D36:P36)</f>
        <v>240</v>
      </c>
    </row>
    <row r="37" spans="1:18" ht="8.25" customHeight="1" x14ac:dyDescent="0.2">
      <c r="A37" s="672"/>
      <c r="B37" s="156" t="s">
        <v>260</v>
      </c>
      <c r="C37" s="672"/>
      <c r="D37" s="176">
        <v>18</v>
      </c>
      <c r="E37" s="174">
        <v>18</v>
      </c>
      <c r="F37" s="174">
        <v>18</v>
      </c>
      <c r="G37" s="174">
        <v>18</v>
      </c>
      <c r="H37" s="174">
        <v>18</v>
      </c>
      <c r="I37" s="174">
        <v>18</v>
      </c>
      <c r="J37" s="174">
        <v>18</v>
      </c>
      <c r="K37" s="174">
        <v>18</v>
      </c>
      <c r="L37" s="174">
        <v>18</v>
      </c>
      <c r="M37" s="174">
        <v>18</v>
      </c>
      <c r="N37" s="675">
        <v>18</v>
      </c>
      <c r="O37" s="675"/>
      <c r="P37" s="177">
        <v>18</v>
      </c>
      <c r="Q37" s="158">
        <f>SUM(D37:P37)</f>
        <v>216</v>
      </c>
    </row>
    <row r="38" spans="1:18" ht="8.25" customHeight="1" x14ac:dyDescent="0.2">
      <c r="A38" s="673"/>
      <c r="B38" s="160" t="s">
        <v>261</v>
      </c>
      <c r="C38" s="673"/>
      <c r="D38" s="178">
        <v>186</v>
      </c>
      <c r="E38" s="185">
        <v>186</v>
      </c>
      <c r="F38" s="185">
        <v>186</v>
      </c>
      <c r="G38" s="185">
        <v>186</v>
      </c>
      <c r="H38" s="185">
        <v>186</v>
      </c>
      <c r="I38" s="185">
        <v>186</v>
      </c>
      <c r="J38" s="185">
        <v>186</v>
      </c>
      <c r="K38" s="185">
        <v>186</v>
      </c>
      <c r="L38" s="185">
        <v>186</v>
      </c>
      <c r="M38" s="185">
        <v>186</v>
      </c>
      <c r="N38" s="676">
        <v>186</v>
      </c>
      <c r="O38" s="676"/>
      <c r="P38" s="186">
        <v>186</v>
      </c>
      <c r="Q38" s="165">
        <f>SUM(D38:P38)</f>
        <v>2232</v>
      </c>
    </row>
    <row r="39" spans="1:18" ht="8.25" customHeight="1" x14ac:dyDescent="0.15">
      <c r="A39" s="150"/>
      <c r="B39" s="666" t="s">
        <v>262</v>
      </c>
      <c r="C39" s="667"/>
      <c r="D39" s="668"/>
      <c r="E39" s="669"/>
      <c r="F39" s="669"/>
      <c r="G39" s="669"/>
      <c r="H39" s="669"/>
      <c r="I39" s="669"/>
      <c r="J39" s="669"/>
      <c r="K39" s="669"/>
      <c r="L39" s="669"/>
      <c r="M39" s="669"/>
      <c r="N39" s="669"/>
      <c r="O39" s="669"/>
      <c r="P39" s="670"/>
      <c r="Q39" s="162">
        <f>SUM(Q36:Q38)</f>
        <v>2688</v>
      </c>
    </row>
  </sheetData>
  <mergeCells count="54">
    <mergeCell ref="A5:A12"/>
    <mergeCell ref="N5:O5"/>
    <mergeCell ref="N6:O6"/>
    <mergeCell ref="N7:O7"/>
    <mergeCell ref="N8:O8"/>
    <mergeCell ref="N9:O9"/>
    <mergeCell ref="N10:O10"/>
    <mergeCell ref="N11:O11"/>
    <mergeCell ref="N12:O12"/>
    <mergeCell ref="A1:Q1"/>
    <mergeCell ref="D2:P2"/>
    <mergeCell ref="N3:O3"/>
    <mergeCell ref="B4:C4"/>
    <mergeCell ref="D4:P4"/>
    <mergeCell ref="B13:C13"/>
    <mergeCell ref="D13:P13"/>
    <mergeCell ref="D26:P26"/>
    <mergeCell ref="D14:P14"/>
    <mergeCell ref="B15:C15"/>
    <mergeCell ref="D15:P15"/>
    <mergeCell ref="B25:C25"/>
    <mergeCell ref="D25:P25"/>
    <mergeCell ref="A16:A24"/>
    <mergeCell ref="N16:O16"/>
    <mergeCell ref="N17:O17"/>
    <mergeCell ref="N18:O18"/>
    <mergeCell ref="N19:O19"/>
    <mergeCell ref="N20:O20"/>
    <mergeCell ref="N21:O21"/>
    <mergeCell ref="N22:O22"/>
    <mergeCell ref="N23:O23"/>
    <mergeCell ref="N24:O24"/>
    <mergeCell ref="B27:C27"/>
    <mergeCell ref="D27:P27"/>
    <mergeCell ref="A28:A30"/>
    <mergeCell ref="C28:C30"/>
    <mergeCell ref="N28:O28"/>
    <mergeCell ref="N29:O29"/>
    <mergeCell ref="N30:O30"/>
    <mergeCell ref="B31:C31"/>
    <mergeCell ref="D31:P31"/>
    <mergeCell ref="D32:P32"/>
    <mergeCell ref="A33:Q33"/>
    <mergeCell ref="A34:N34"/>
    <mergeCell ref="O34:R34"/>
    <mergeCell ref="B39:C39"/>
    <mergeCell ref="D39:P39"/>
    <mergeCell ref="B35:C35"/>
    <mergeCell ref="D35:P35"/>
    <mergeCell ref="A36:A38"/>
    <mergeCell ref="C36:C38"/>
    <mergeCell ref="N36:O36"/>
    <mergeCell ref="N37:O37"/>
    <mergeCell ref="N38:O3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16673-377B-E342-8F1B-F3894569625D}">
  <dimension ref="A2:O179"/>
  <sheetViews>
    <sheetView zoomScale="163" workbookViewId="0">
      <pane xSplit="3" ySplit="3" topLeftCell="D4" activePane="bottomRight" state="frozen"/>
      <selection activeCell="G26" sqref="G26"/>
      <selection pane="topRight" activeCell="G26" sqref="G26"/>
      <selection pane="bottomLeft" activeCell="G26" sqref="G26"/>
      <selection pane="bottomRight" activeCell="G26" sqref="G26"/>
    </sheetView>
  </sheetViews>
  <sheetFormatPr baseColWidth="10" defaultColWidth="10.83203125" defaultRowHeight="16" outlineLevelCol="1" x14ac:dyDescent="0.2"/>
  <cols>
    <col min="1" max="1" width="4.1640625" customWidth="1"/>
    <col min="2" max="2" width="3.33203125" customWidth="1"/>
    <col min="3" max="3" width="54.5" customWidth="1"/>
    <col min="4" max="4" width="11.1640625" bestFit="1" customWidth="1"/>
    <col min="5" max="5" width="12.5" style="599" bestFit="1" customWidth="1"/>
    <col min="6" max="6" width="3.5" customWidth="1"/>
    <col min="7" max="7" width="14" bestFit="1" customWidth="1"/>
    <col min="8" max="8" width="11.5" bestFit="1" customWidth="1"/>
    <col min="9" max="9" width="3.33203125" hidden="1" customWidth="1" outlineLevel="1"/>
    <col min="10" max="10" width="9.1640625" hidden="1" customWidth="1" outlineLevel="1"/>
    <col min="11" max="11" width="9.83203125" hidden="1" customWidth="1" outlineLevel="1"/>
    <col min="12" max="12" width="3.33203125" customWidth="1" collapsed="1"/>
    <col min="13" max="13" width="31.33203125" customWidth="1"/>
    <col min="14" max="14" width="16.5" customWidth="1"/>
  </cols>
  <sheetData>
    <row r="2" spans="1:15" s="3" customFormat="1" x14ac:dyDescent="0.2">
      <c r="C2" s="3" t="s">
        <v>23</v>
      </c>
      <c r="D2" s="691" t="s">
        <v>130</v>
      </c>
      <c r="E2" s="691"/>
      <c r="G2" s="691">
        <v>2024</v>
      </c>
      <c r="H2" s="691"/>
      <c r="I2" s="4"/>
      <c r="J2" s="4"/>
      <c r="K2" s="4"/>
    </row>
    <row r="3" spans="1:15" s="3" customFormat="1" x14ac:dyDescent="0.2">
      <c r="D3" s="323" t="s">
        <v>39</v>
      </c>
      <c r="E3" s="597" t="s">
        <v>40</v>
      </c>
      <c r="G3" s="323" t="s">
        <v>39</v>
      </c>
      <c r="H3" s="323" t="s">
        <v>40</v>
      </c>
      <c r="I3" s="4"/>
      <c r="J3" s="4" t="s">
        <v>151</v>
      </c>
      <c r="K3" s="4" t="s">
        <v>152</v>
      </c>
      <c r="M3" s="3" t="s">
        <v>138</v>
      </c>
      <c r="N3" s="3" t="s">
        <v>494</v>
      </c>
    </row>
    <row r="4" spans="1:15" x14ac:dyDescent="0.2">
      <c r="A4" s="107"/>
      <c r="B4" s="107"/>
      <c r="C4" s="107"/>
      <c r="D4" s="112"/>
      <c r="E4" s="598"/>
      <c r="F4" s="107"/>
      <c r="G4" s="112"/>
      <c r="H4" s="112"/>
      <c r="I4" s="112"/>
      <c r="J4" s="112"/>
      <c r="K4" s="112"/>
      <c r="L4" s="107"/>
      <c r="M4" s="107"/>
    </row>
    <row r="5" spans="1:15" x14ac:dyDescent="0.2">
      <c r="B5" t="s">
        <v>119</v>
      </c>
      <c r="D5" s="101"/>
      <c r="F5" s="101"/>
      <c r="G5" s="101"/>
      <c r="H5" s="101"/>
      <c r="I5" s="101"/>
      <c r="J5" s="101"/>
      <c r="K5" s="101"/>
      <c r="L5" s="101"/>
      <c r="M5" s="101"/>
    </row>
    <row r="6" spans="1:15" x14ac:dyDescent="0.2">
      <c r="C6" t="s">
        <v>127</v>
      </c>
      <c r="D6" s="301">
        <f>+'R3G2 - Haejin'!F17</f>
        <v>940373.2</v>
      </c>
      <c r="E6" s="599">
        <f>D6/rate</f>
        <v>11754.664999999999</v>
      </c>
      <c r="F6" s="101"/>
      <c r="G6" s="300">
        <f>+SUM('R3G2 - Haejin'!J10:J15)</f>
        <v>2415280</v>
      </c>
      <c r="H6" s="121">
        <f>G6/rate</f>
        <v>30191</v>
      </c>
      <c r="I6" s="121"/>
      <c r="J6" s="121">
        <f>H6-E6</f>
        <v>18436.334999999999</v>
      </c>
      <c r="K6" s="123">
        <f>H6/E6-1</f>
        <v>1.5684270883091949</v>
      </c>
      <c r="L6" s="101"/>
      <c r="M6" s="101"/>
      <c r="N6" t="s">
        <v>495</v>
      </c>
    </row>
    <row r="7" spans="1:15" x14ac:dyDescent="0.2">
      <c r="C7" t="s">
        <v>492</v>
      </c>
      <c r="D7" s="116">
        <v>0</v>
      </c>
      <c r="E7" s="599">
        <f>D7/rate</f>
        <v>0</v>
      </c>
      <c r="F7" s="101"/>
      <c r="G7" s="507">
        <f>+'R3G2 - Haejin'!J16</f>
        <v>130000</v>
      </c>
      <c r="H7" s="121">
        <f>G7/rate</f>
        <v>1625</v>
      </c>
      <c r="I7" s="121"/>
      <c r="J7" s="121" t="e">
        <f>#REF!-#REF!</f>
        <v>#REF!</v>
      </c>
      <c r="K7" s="123" t="e">
        <f>#REF!/#REF!-1</f>
        <v>#REF!</v>
      </c>
      <c r="L7" s="101"/>
      <c r="M7" s="101"/>
      <c r="N7" t="s">
        <v>495</v>
      </c>
    </row>
    <row r="8" spans="1:15" x14ac:dyDescent="0.2">
      <c r="B8" t="s">
        <v>131</v>
      </c>
      <c r="C8" s="107"/>
      <c r="D8" s="114">
        <f>SUM(D6:D7)</f>
        <v>940373.2</v>
      </c>
      <c r="E8" s="596">
        <f>SUM(E6:E7)</f>
        <v>11754.664999999999</v>
      </c>
      <c r="F8" s="108"/>
      <c r="G8" s="114">
        <f>SUM(G6:G7)</f>
        <v>2545280</v>
      </c>
      <c r="H8" s="122">
        <f>SUM(H6:H7)</f>
        <v>31816</v>
      </c>
      <c r="I8" s="121"/>
      <c r="J8" s="121">
        <f>H7-E7</f>
        <v>1625</v>
      </c>
      <c r="K8" s="124" t="s">
        <v>153</v>
      </c>
      <c r="L8" s="101"/>
      <c r="M8" s="101"/>
    </row>
    <row r="9" spans="1:15" x14ac:dyDescent="0.2">
      <c r="I9" s="122"/>
      <c r="J9" s="122">
        <f>H8-E8</f>
        <v>20061.334999999999</v>
      </c>
      <c r="K9" s="125">
        <f>H8/E8-1</f>
        <v>1.7066700752424677</v>
      </c>
      <c r="L9" s="101"/>
      <c r="M9" s="101"/>
    </row>
    <row r="10" spans="1:15" x14ac:dyDescent="0.2">
      <c r="D10" s="115"/>
      <c r="F10" s="101"/>
      <c r="G10" s="101"/>
      <c r="H10" s="121"/>
      <c r="I10" s="121"/>
      <c r="J10" s="121"/>
      <c r="K10" s="121"/>
      <c r="L10" s="101"/>
      <c r="M10" s="101"/>
    </row>
    <row r="11" spans="1:15" x14ac:dyDescent="0.2">
      <c r="B11" t="s">
        <v>496</v>
      </c>
      <c r="D11" s="115" t="s">
        <v>23</v>
      </c>
      <c r="F11" s="101"/>
      <c r="G11" s="101"/>
      <c r="H11" s="121"/>
      <c r="I11" s="121"/>
      <c r="J11" s="121"/>
      <c r="K11" s="121"/>
      <c r="L11" s="101"/>
      <c r="M11" s="101"/>
    </row>
    <row r="12" spans="1:15" x14ac:dyDescent="0.2">
      <c r="C12" t="s">
        <v>498</v>
      </c>
      <c r="D12" s="301">
        <f>+'R3G2 - Haejin'!F37</f>
        <v>20000</v>
      </c>
      <c r="E12" s="599">
        <f t="shared" ref="E12:E22" si="0">D12/rate</f>
        <v>250</v>
      </c>
      <c r="F12" s="101"/>
      <c r="G12" s="301">
        <f>+'R3G2 - Haejin'!J37</f>
        <v>120000</v>
      </c>
      <c r="H12" s="121">
        <f t="shared" ref="H12:H22" si="1">G12/rate</f>
        <v>1500</v>
      </c>
      <c r="I12" s="121"/>
      <c r="J12" s="121">
        <f t="shared" ref="J12:J23" si="2">H12-E12</f>
        <v>1250</v>
      </c>
      <c r="K12" s="123">
        <f t="shared" ref="K12:K23" si="3">H12/E12-1</f>
        <v>5</v>
      </c>
      <c r="L12" s="101"/>
      <c r="M12" s="101" t="s">
        <v>505</v>
      </c>
      <c r="N12" t="s">
        <v>497</v>
      </c>
      <c r="O12" t="s">
        <v>23</v>
      </c>
    </row>
    <row r="13" spans="1:15" x14ac:dyDescent="0.2">
      <c r="C13" t="s">
        <v>499</v>
      </c>
      <c r="D13" s="301">
        <f>+'R3G2 - Haejin'!F38</f>
        <v>400294</v>
      </c>
      <c r="E13" s="599">
        <f t="shared" si="0"/>
        <v>5003.6750000000002</v>
      </c>
      <c r="F13" s="101"/>
      <c r="G13" s="301">
        <f>+'R3G2 - Haejin'!J38</f>
        <v>225000</v>
      </c>
      <c r="H13" s="121">
        <f t="shared" si="1"/>
        <v>2812.5</v>
      </c>
      <c r="I13" s="121"/>
      <c r="J13" s="121">
        <f t="shared" si="2"/>
        <v>-2191.1750000000002</v>
      </c>
      <c r="K13" s="123">
        <f t="shared" si="3"/>
        <v>-0.43791313384662278</v>
      </c>
      <c r="L13" s="101"/>
      <c r="M13" s="101" t="s">
        <v>506</v>
      </c>
      <c r="N13" t="s">
        <v>497</v>
      </c>
    </row>
    <row r="14" spans="1:15" x14ac:dyDescent="0.2">
      <c r="C14" t="s">
        <v>500</v>
      </c>
      <c r="D14" s="301">
        <f>+'R3G2 - Haejin'!F39</f>
        <v>0</v>
      </c>
      <c r="E14" s="599">
        <f t="shared" si="0"/>
        <v>0</v>
      </c>
      <c r="F14" s="101"/>
      <c r="G14" s="301">
        <f>+'R3G2 - Haejin'!J39</f>
        <v>67500</v>
      </c>
      <c r="H14" s="121">
        <f t="shared" si="1"/>
        <v>843.75</v>
      </c>
      <c r="I14" s="121"/>
      <c r="J14" s="121">
        <f t="shared" si="2"/>
        <v>843.75</v>
      </c>
      <c r="K14" s="124" t="s">
        <v>153</v>
      </c>
      <c r="L14" s="101"/>
      <c r="M14" s="101" t="s">
        <v>507</v>
      </c>
      <c r="N14" t="s">
        <v>497</v>
      </c>
    </row>
    <row r="15" spans="1:15" x14ac:dyDescent="0.2">
      <c r="C15" t="s">
        <v>501</v>
      </c>
      <c r="D15" s="301">
        <f>+'R3G2 - Haejin'!F40</f>
        <v>0</v>
      </c>
      <c r="E15" s="599">
        <f t="shared" si="0"/>
        <v>0</v>
      </c>
      <c r="F15" s="101"/>
      <c r="G15" s="301">
        <f>+'R3G2 - Haejin'!J40</f>
        <v>0</v>
      </c>
      <c r="H15" s="121">
        <f t="shared" si="1"/>
        <v>0</v>
      </c>
      <c r="I15" s="121"/>
      <c r="J15" s="121">
        <f t="shared" si="2"/>
        <v>0</v>
      </c>
      <c r="K15" s="123" t="e">
        <f t="shared" si="3"/>
        <v>#DIV/0!</v>
      </c>
      <c r="L15" s="101"/>
      <c r="M15" s="101" t="s">
        <v>508</v>
      </c>
      <c r="N15" t="s">
        <v>497</v>
      </c>
    </row>
    <row r="16" spans="1:15" x14ac:dyDescent="0.2">
      <c r="C16" t="s">
        <v>502</v>
      </c>
      <c r="D16" s="301">
        <f>+'R3G2 - Haejin'!F41</f>
        <v>300000</v>
      </c>
      <c r="E16" s="599">
        <f t="shared" si="0"/>
        <v>3750</v>
      </c>
      <c r="F16" s="101"/>
      <c r="G16" s="301">
        <f>+'R3G2 - Haejin'!J41</f>
        <v>330000</v>
      </c>
      <c r="H16" s="121">
        <f t="shared" si="1"/>
        <v>4125</v>
      </c>
      <c r="I16" s="121"/>
      <c r="J16" s="121">
        <f t="shared" si="2"/>
        <v>375</v>
      </c>
      <c r="K16" s="124" t="s">
        <v>153</v>
      </c>
      <c r="L16" s="101"/>
      <c r="M16" s="101" t="s">
        <v>509</v>
      </c>
      <c r="N16" t="s">
        <v>497</v>
      </c>
    </row>
    <row r="17" spans="2:15" x14ac:dyDescent="0.2">
      <c r="C17" t="s">
        <v>503</v>
      </c>
      <c r="D17" s="301">
        <f>+'R3G2 - Haejin'!F42</f>
        <v>572394</v>
      </c>
      <c r="E17" s="599">
        <f t="shared" si="0"/>
        <v>7154.9250000000002</v>
      </c>
      <c r="F17" s="101"/>
      <c r="G17" s="301">
        <f>+'R3G2 - Haejin'!J42</f>
        <v>1150000</v>
      </c>
      <c r="H17" s="121">
        <f t="shared" si="1"/>
        <v>14375</v>
      </c>
      <c r="I17" s="121"/>
      <c r="J17" s="121">
        <f t="shared" si="2"/>
        <v>7220.0749999999998</v>
      </c>
      <c r="K17" s="123">
        <f t="shared" si="3"/>
        <v>1.0091056160616638</v>
      </c>
      <c r="L17" s="101"/>
      <c r="M17" s="101" t="s">
        <v>504</v>
      </c>
      <c r="N17" t="s">
        <v>497</v>
      </c>
    </row>
    <row r="18" spans="2:15" x14ac:dyDescent="0.2">
      <c r="C18" t="s">
        <v>84</v>
      </c>
      <c r="D18" s="301">
        <f>+'R3G2 - Haejin'!F43</f>
        <v>275000</v>
      </c>
      <c r="E18" s="599">
        <f t="shared" si="0"/>
        <v>3437.5</v>
      </c>
      <c r="F18" s="101"/>
      <c r="G18" s="301">
        <f>+'R3G2 - Haejin'!J43</f>
        <v>0</v>
      </c>
      <c r="H18" s="121">
        <f t="shared" si="1"/>
        <v>0</v>
      </c>
      <c r="I18" s="121"/>
      <c r="J18" s="121">
        <f t="shared" si="2"/>
        <v>-3437.5</v>
      </c>
      <c r="K18" s="123">
        <f t="shared" si="3"/>
        <v>-1</v>
      </c>
      <c r="L18" s="101"/>
      <c r="M18" s="101"/>
      <c r="N18" t="s">
        <v>497</v>
      </c>
    </row>
    <row r="19" spans="2:15" x14ac:dyDescent="0.2">
      <c r="C19" t="s">
        <v>511</v>
      </c>
      <c r="D19" s="301">
        <f>+'R3G2 - Haejin'!F30</f>
        <v>0</v>
      </c>
      <c r="E19" s="599">
        <f t="shared" si="0"/>
        <v>0</v>
      </c>
      <c r="F19" s="101" t="s">
        <v>23</v>
      </c>
      <c r="G19" s="301">
        <f>'R3G2 - Haejin'!J30</f>
        <v>120600</v>
      </c>
      <c r="H19" s="121">
        <f t="shared" si="1"/>
        <v>1507.5</v>
      </c>
      <c r="I19" t="s">
        <v>23</v>
      </c>
      <c r="J19" t="s">
        <v>23</v>
      </c>
      <c r="K19" t="s">
        <v>23</v>
      </c>
      <c r="L19" t="s">
        <v>23</v>
      </c>
      <c r="M19" s="101"/>
      <c r="N19" t="s">
        <v>515</v>
      </c>
    </row>
    <row r="20" spans="2:15" x14ac:dyDescent="0.2">
      <c r="C20" t="s">
        <v>512</v>
      </c>
      <c r="D20" s="301">
        <v>0</v>
      </c>
      <c r="E20" s="599">
        <f t="shared" si="0"/>
        <v>0</v>
      </c>
      <c r="F20" s="101" t="s">
        <v>23</v>
      </c>
      <c r="G20" s="301">
        <f>'R3G2 - Haejin'!J31</f>
        <v>34000</v>
      </c>
      <c r="H20" s="121">
        <f t="shared" si="1"/>
        <v>425</v>
      </c>
      <c r="I20" s="121"/>
      <c r="J20" s="121">
        <f t="shared" si="2"/>
        <v>425</v>
      </c>
      <c r="K20" s="124" t="s">
        <v>153</v>
      </c>
      <c r="L20" s="101"/>
      <c r="M20" s="101"/>
      <c r="N20" t="s">
        <v>515</v>
      </c>
    </row>
    <row r="21" spans="2:15" x14ac:dyDescent="0.2">
      <c r="C21" t="s">
        <v>513</v>
      </c>
      <c r="D21" s="301">
        <v>0</v>
      </c>
      <c r="E21" s="599">
        <f t="shared" si="0"/>
        <v>0</v>
      </c>
      <c r="F21" s="101" t="s">
        <v>23</v>
      </c>
      <c r="G21" s="301">
        <f>'R3G2 - Haejin'!J32</f>
        <v>140000</v>
      </c>
      <c r="H21" s="121">
        <f t="shared" si="1"/>
        <v>1750</v>
      </c>
      <c r="I21" s="121"/>
      <c r="J21" s="121">
        <f t="shared" si="2"/>
        <v>1750</v>
      </c>
      <c r="K21" s="123" t="e">
        <f t="shared" si="3"/>
        <v>#DIV/0!</v>
      </c>
      <c r="L21" s="101"/>
      <c r="M21" s="101"/>
      <c r="N21" t="s">
        <v>515</v>
      </c>
    </row>
    <row r="22" spans="2:15" x14ac:dyDescent="0.2">
      <c r="C22" t="s">
        <v>514</v>
      </c>
      <c r="D22" s="301">
        <v>0</v>
      </c>
      <c r="E22" s="599">
        <f t="shared" si="0"/>
        <v>0</v>
      </c>
      <c r="F22" s="101" t="s">
        <v>23</v>
      </c>
      <c r="G22" s="301">
        <f>'R3G2 - Haejin'!J33</f>
        <v>210000</v>
      </c>
      <c r="H22" s="121">
        <f t="shared" si="1"/>
        <v>2625</v>
      </c>
      <c r="I22" s="121"/>
      <c r="J22" s="121">
        <f t="shared" si="2"/>
        <v>2625</v>
      </c>
      <c r="K22" s="124" t="s">
        <v>153</v>
      </c>
      <c r="L22" s="101"/>
      <c r="M22" s="101"/>
      <c r="N22" t="s">
        <v>515</v>
      </c>
    </row>
    <row r="23" spans="2:15" x14ac:dyDescent="0.2">
      <c r="C23" s="107"/>
      <c r="D23" s="114">
        <f>SUM(D12:D22)</f>
        <v>1567688</v>
      </c>
      <c r="E23" s="596">
        <f>SUM(E12:E22)</f>
        <v>19596.099999999999</v>
      </c>
      <c r="F23" s="108"/>
      <c r="G23" s="114">
        <f>SUM(G12:G22)</f>
        <v>2397100</v>
      </c>
      <c r="H23" s="122">
        <f>SUM(H12:H22)</f>
        <v>29963.75</v>
      </c>
      <c r="I23" s="114"/>
      <c r="J23" s="122">
        <f t="shared" si="2"/>
        <v>10367.650000000001</v>
      </c>
      <c r="K23" s="125">
        <f t="shared" si="3"/>
        <v>0.52906700823122987</v>
      </c>
      <c r="L23" s="101"/>
      <c r="M23" s="101"/>
    </row>
    <row r="24" spans="2:15" x14ac:dyDescent="0.2">
      <c r="D24" s="115"/>
      <c r="F24" s="101"/>
      <c r="G24" s="101"/>
      <c r="H24" s="101"/>
      <c r="I24" s="101"/>
      <c r="J24" s="101"/>
      <c r="K24" s="101"/>
      <c r="L24" s="101"/>
      <c r="M24" s="101"/>
    </row>
    <row r="25" spans="2:15" x14ac:dyDescent="0.2">
      <c r="B25" t="s">
        <v>121</v>
      </c>
      <c r="D25" s="115"/>
      <c r="F25" s="101"/>
      <c r="G25" s="101"/>
      <c r="H25" s="101"/>
      <c r="I25" s="101"/>
      <c r="J25" s="101"/>
      <c r="K25" s="101"/>
      <c r="L25" s="101"/>
      <c r="M25" s="101"/>
    </row>
    <row r="26" spans="2:15" x14ac:dyDescent="0.2">
      <c r="C26" t="s">
        <v>510</v>
      </c>
      <c r="D26" s="301">
        <f>+'R3G2 - Haejin'!F44</f>
        <v>869851.5</v>
      </c>
      <c r="E26" s="599">
        <f>D26/rate</f>
        <v>10873.143749999999</v>
      </c>
      <c r="F26" s="101"/>
      <c r="G26" s="301">
        <f>+'R3G2 - Haejin'!J44</f>
        <v>332640</v>
      </c>
      <c r="H26" s="121">
        <f>G26/rate</f>
        <v>4158</v>
      </c>
      <c r="I26" s="121"/>
      <c r="J26" s="121">
        <f>H26-E26</f>
        <v>-6715.1437499999993</v>
      </c>
      <c r="K26" s="123">
        <f>H26/E26-1</f>
        <v>-0.61758989896551308</v>
      </c>
      <c r="L26" s="101"/>
      <c r="M26" s="101"/>
      <c r="N26" t="s">
        <v>497</v>
      </c>
      <c r="O26" t="s">
        <v>580</v>
      </c>
    </row>
    <row r="27" spans="2:15" x14ac:dyDescent="0.2">
      <c r="C27" t="s">
        <v>372</v>
      </c>
      <c r="D27" s="113">
        <v>1282500</v>
      </c>
      <c r="E27" s="599">
        <f>D27/rate</f>
        <v>16031.25</v>
      </c>
      <c r="F27" s="101"/>
      <c r="G27" s="301">
        <f>'R3G2 - Haejin'!J26</f>
        <v>806280</v>
      </c>
      <c r="H27" s="121">
        <f>G27/rate</f>
        <v>10078.5</v>
      </c>
      <c r="I27" s="101"/>
      <c r="J27" s="101"/>
      <c r="K27" s="101"/>
      <c r="L27" s="101"/>
      <c r="M27" s="101"/>
      <c r="N27" t="s">
        <v>578</v>
      </c>
      <c r="O27" t="s">
        <v>580</v>
      </c>
    </row>
    <row r="28" spans="2:15" x14ac:dyDescent="0.2">
      <c r="C28" s="107"/>
      <c r="D28" s="114">
        <f>+D26+D27</f>
        <v>2152351.5</v>
      </c>
      <c r="E28" s="596">
        <f>+E26+E27</f>
        <v>26904.393749999999</v>
      </c>
      <c r="F28" s="108"/>
      <c r="G28" s="114">
        <f>+G26+G27</f>
        <v>1138920</v>
      </c>
      <c r="H28" s="596">
        <f>+H26+H27</f>
        <v>14236.5</v>
      </c>
      <c r="I28" s="101"/>
      <c r="J28" s="101"/>
      <c r="K28" s="101"/>
      <c r="L28" s="101"/>
      <c r="M28" s="101"/>
    </row>
    <row r="29" spans="2:15" x14ac:dyDescent="0.2">
      <c r="D29" s="591"/>
      <c r="E29" s="594"/>
      <c r="F29" s="593"/>
      <c r="G29" s="591"/>
      <c r="H29" s="592"/>
      <c r="I29" s="101"/>
      <c r="J29" s="101"/>
      <c r="K29" s="101"/>
      <c r="L29" s="101"/>
      <c r="M29" s="101"/>
    </row>
    <row r="30" spans="2:15" x14ac:dyDescent="0.2">
      <c r="B30" t="s">
        <v>579</v>
      </c>
      <c r="D30" s="591"/>
      <c r="E30" s="594"/>
      <c r="F30" s="593"/>
      <c r="G30" s="591"/>
      <c r="H30" s="592"/>
      <c r="I30" s="101"/>
      <c r="J30" s="101"/>
      <c r="K30" s="101"/>
      <c r="L30" s="101"/>
      <c r="M30" s="101"/>
    </row>
    <row r="31" spans="2:15" x14ac:dyDescent="0.2">
      <c r="C31" t="s">
        <v>55</v>
      </c>
      <c r="D31" s="591">
        <f>+'R3G2 - Haejin'!F20</f>
        <v>167000</v>
      </c>
      <c r="E31" s="594">
        <f>+'R3G2 - Haejin'!G20</f>
        <v>2226.6666666666665</v>
      </c>
      <c r="F31" s="593"/>
      <c r="G31" s="591">
        <f>+'R3G2 - Haejin'!J20</f>
        <v>840000</v>
      </c>
      <c r="H31" s="594">
        <f>+'R3G2 - Haejin'!K20</f>
        <v>11200</v>
      </c>
      <c r="I31" s="101"/>
      <c r="J31" s="101"/>
      <c r="K31" s="101"/>
      <c r="L31" s="101"/>
      <c r="M31" s="101"/>
      <c r="N31" t="s">
        <v>578</v>
      </c>
    </row>
    <row r="32" spans="2:15" x14ac:dyDescent="0.2">
      <c r="C32" t="s">
        <v>57</v>
      </c>
      <c r="D32" s="591">
        <f>+'R3G2 - Haejin'!F21</f>
        <v>345445</v>
      </c>
      <c r="E32" s="594">
        <f>+'R3G2 - Haejin'!G21</f>
        <v>4605.9333333333334</v>
      </c>
      <c r="F32" s="593"/>
      <c r="G32" s="591">
        <f>+'R3G2 - Haejin'!J21</f>
        <v>840000</v>
      </c>
      <c r="H32" s="594">
        <f>+'R3G2 - Haejin'!K21</f>
        <v>11200</v>
      </c>
      <c r="I32" s="101"/>
      <c r="J32" s="101"/>
      <c r="K32" s="101"/>
      <c r="L32" s="101"/>
      <c r="M32" s="101"/>
      <c r="N32" t="s">
        <v>578</v>
      </c>
    </row>
    <row r="33" spans="2:15" x14ac:dyDescent="0.2">
      <c r="C33" t="s">
        <v>59</v>
      </c>
      <c r="D33" s="591">
        <f>+'R3G2 - Haejin'!F22</f>
        <v>11670</v>
      </c>
      <c r="E33" s="594">
        <f>+'R3G2 - Haejin'!G22</f>
        <v>155.6</v>
      </c>
      <c r="F33" s="593"/>
      <c r="G33" s="591">
        <f>+'R3G2 - Haejin'!J22</f>
        <v>168000</v>
      </c>
      <c r="H33" s="594">
        <f>+'R3G2 - Haejin'!K22</f>
        <v>2240</v>
      </c>
      <c r="I33" s="101"/>
      <c r="J33" s="101"/>
      <c r="K33" s="101"/>
      <c r="L33" s="101"/>
      <c r="M33" s="101"/>
      <c r="N33" t="s">
        <v>578</v>
      </c>
    </row>
    <row r="34" spans="2:15" x14ac:dyDescent="0.2">
      <c r="C34" t="s">
        <v>60</v>
      </c>
      <c r="D34" s="591">
        <f>+'R3G2 - Haejin'!F23</f>
        <v>181548</v>
      </c>
      <c r="E34" s="594">
        <f>+'R3G2 - Haejin'!G23</f>
        <v>2420.64</v>
      </c>
      <c r="F34" s="593"/>
      <c r="G34" s="591">
        <f>+'R3G2 - Haejin'!J23</f>
        <v>350000</v>
      </c>
      <c r="H34" s="594">
        <f>+'R3G2 - Haejin'!K23</f>
        <v>4666.666666666667</v>
      </c>
      <c r="I34" s="101"/>
      <c r="J34" s="101"/>
      <c r="K34" s="101"/>
      <c r="L34" s="101"/>
      <c r="M34" s="101"/>
      <c r="N34" t="s">
        <v>578</v>
      </c>
    </row>
    <row r="35" spans="2:15" x14ac:dyDescent="0.2">
      <c r="C35" s="107"/>
      <c r="D35" s="114">
        <f>+SUM(D31:D34)</f>
        <v>705663</v>
      </c>
      <c r="E35" s="596">
        <f>+SUM(E31:E34)</f>
        <v>9408.84</v>
      </c>
      <c r="F35" s="108"/>
      <c r="G35" s="114">
        <f>+SUM(G31:G34)</f>
        <v>2198000</v>
      </c>
      <c r="H35" s="596">
        <f>+SUM(H31:H34)</f>
        <v>29306.666666666668</v>
      </c>
      <c r="I35" s="101"/>
      <c r="J35" s="101"/>
      <c r="K35" s="101"/>
      <c r="L35" s="101"/>
      <c r="M35" s="101"/>
    </row>
    <row r="36" spans="2:15" x14ac:dyDescent="0.2">
      <c r="D36" s="115"/>
      <c r="F36" s="101"/>
      <c r="G36" s="101"/>
      <c r="H36" s="101"/>
      <c r="I36" s="101"/>
      <c r="J36" s="101"/>
      <c r="K36" s="101"/>
      <c r="L36" s="101"/>
      <c r="M36" s="101"/>
    </row>
    <row r="37" spans="2:15" x14ac:dyDescent="0.2">
      <c r="B37" t="s">
        <v>115</v>
      </c>
      <c r="D37" s="115"/>
      <c r="F37" s="101"/>
      <c r="G37" s="101"/>
      <c r="H37" s="101"/>
      <c r="I37" s="101"/>
      <c r="J37" s="101"/>
      <c r="K37" s="101"/>
      <c r="L37" s="101"/>
      <c r="M37" s="101"/>
    </row>
    <row r="38" spans="2:15" x14ac:dyDescent="0.2">
      <c r="C38" t="s">
        <v>62</v>
      </c>
      <c r="D38" s="115">
        <f>+'R3G2 - Haejin'!F24</f>
        <v>11503</v>
      </c>
      <c r="E38" s="599">
        <f>+'R3G2 - Haejin'!G24</f>
        <v>153.37333333333333</v>
      </c>
      <c r="F38" s="101"/>
      <c r="G38" s="101">
        <f>+'R3G2 - Haejin'!J24</f>
        <v>180000</v>
      </c>
      <c r="H38" s="101">
        <f>+'R3G2 - Haejin'!K24</f>
        <v>2400</v>
      </c>
      <c r="I38" s="101"/>
      <c r="J38" s="101"/>
      <c r="K38" s="101"/>
      <c r="L38" s="101"/>
      <c r="M38" s="101"/>
      <c r="N38" t="s">
        <v>578</v>
      </c>
    </row>
    <row r="39" spans="2:15" x14ac:dyDescent="0.2">
      <c r="C39" t="s">
        <v>64</v>
      </c>
      <c r="D39" s="115">
        <f>+'R3G2 - Haejin'!F25</f>
        <v>0</v>
      </c>
      <c r="E39" s="599">
        <f>+'R3G2 - Haejin'!G25</f>
        <v>0</v>
      </c>
      <c r="F39" s="101"/>
      <c r="G39" s="101">
        <f>+'R3G2 - Haejin'!J25</f>
        <v>140000</v>
      </c>
      <c r="H39" s="101">
        <f>+'R3G2 - Haejin'!K25</f>
        <v>1866.6666666666667</v>
      </c>
      <c r="I39" s="101"/>
      <c r="J39" s="101"/>
      <c r="K39" s="101"/>
      <c r="L39" s="101"/>
      <c r="M39" s="101"/>
      <c r="N39" t="s">
        <v>578</v>
      </c>
    </row>
    <row r="40" spans="2:15" x14ac:dyDescent="0.2">
      <c r="C40" s="107"/>
      <c r="D40" s="114">
        <f>+D38+D39</f>
        <v>11503</v>
      </c>
      <c r="E40" s="596">
        <f>+E38+E39</f>
        <v>153.37333333333333</v>
      </c>
      <c r="F40" s="108"/>
      <c r="G40" s="114">
        <f>+G38+G39</f>
        <v>320000</v>
      </c>
      <c r="H40" s="596">
        <f>+H38+H39</f>
        <v>4266.666666666667</v>
      </c>
      <c r="I40" s="101"/>
      <c r="J40" s="101"/>
      <c r="K40" s="101"/>
      <c r="L40" s="101"/>
      <c r="M40" s="101"/>
    </row>
    <row r="41" spans="2:15" x14ac:dyDescent="0.2">
      <c r="D41" s="115"/>
      <c r="F41" s="101"/>
      <c r="G41" s="101"/>
      <c r="H41" s="101"/>
      <c r="I41" s="101"/>
      <c r="J41" s="101"/>
      <c r="K41" s="101"/>
      <c r="L41" s="101"/>
      <c r="M41" s="101"/>
    </row>
    <row r="42" spans="2:15" x14ac:dyDescent="0.2">
      <c r="B42" t="s">
        <v>125</v>
      </c>
      <c r="D42" s="115"/>
      <c r="F42" s="101"/>
      <c r="G42" s="101"/>
      <c r="H42" s="101"/>
      <c r="I42" s="101"/>
      <c r="J42" s="101"/>
      <c r="K42" s="101"/>
      <c r="L42" s="101"/>
      <c r="M42" s="101"/>
    </row>
    <row r="43" spans="2:15" x14ac:dyDescent="0.2">
      <c r="C43" t="s">
        <v>125</v>
      </c>
      <c r="D43" s="301">
        <f>+'R3G2 - Haejin'!F48</f>
        <v>1866683.25</v>
      </c>
      <c r="E43" s="595">
        <f>+'R3G2 - Haejin'!G48</f>
        <v>24889.11</v>
      </c>
      <c r="F43" s="101"/>
      <c r="G43" s="301">
        <f>+'R3G2 - Haejin'!J48</f>
        <v>1289895</v>
      </c>
      <c r="H43" s="595">
        <f>+'R3G2 - Haejin'!K48</f>
        <v>17198.599999999999</v>
      </c>
      <c r="I43" s="101"/>
      <c r="J43" s="101"/>
      <c r="K43" s="101"/>
      <c r="L43" s="101"/>
      <c r="M43" s="101"/>
      <c r="O43" t="s">
        <v>580</v>
      </c>
    </row>
    <row r="44" spans="2:15" x14ac:dyDescent="0.2">
      <c r="C44" s="107"/>
      <c r="D44" s="114">
        <f>D43</f>
        <v>1866683.25</v>
      </c>
      <c r="E44" s="596">
        <f>E43</f>
        <v>24889.11</v>
      </c>
      <c r="F44" s="108"/>
      <c r="G44" s="114">
        <f>G43</f>
        <v>1289895</v>
      </c>
      <c r="H44" s="122">
        <f>SUM(H43)</f>
        <v>17198.599999999999</v>
      </c>
      <c r="I44" s="101"/>
      <c r="J44" s="101"/>
      <c r="K44" s="101"/>
      <c r="L44" s="101"/>
      <c r="M44" s="101"/>
    </row>
    <row r="45" spans="2:15" x14ac:dyDescent="0.2">
      <c r="D45" s="115"/>
      <c r="E45" s="599" t="s">
        <v>23</v>
      </c>
      <c r="F45" s="101"/>
      <c r="G45" s="101"/>
      <c r="H45" s="101"/>
      <c r="I45" s="101"/>
      <c r="J45" s="101"/>
      <c r="K45" s="101"/>
      <c r="L45" s="101"/>
      <c r="M45" s="101"/>
    </row>
    <row r="46" spans="2:15" x14ac:dyDescent="0.2">
      <c r="B46" t="s">
        <v>126</v>
      </c>
      <c r="D46" s="115"/>
      <c r="F46" s="101"/>
      <c r="G46" s="101"/>
      <c r="H46" s="101"/>
      <c r="I46" s="101"/>
      <c r="J46" s="101"/>
      <c r="K46" s="101"/>
      <c r="L46" s="101"/>
      <c r="M46" s="101"/>
    </row>
    <row r="47" spans="2:15" x14ac:dyDescent="0.2">
      <c r="C47" t="s">
        <v>382</v>
      </c>
      <c r="D47" s="301">
        <f>+D53*10%</f>
        <v>320522.72000000003</v>
      </c>
      <c r="E47" s="595">
        <f>+E53*10%</f>
        <v>4066.2978333333335</v>
      </c>
      <c r="F47" s="101"/>
      <c r="G47" s="301">
        <f>+G53*10%</f>
        <v>746038</v>
      </c>
      <c r="H47" s="595">
        <f>+H53*10%</f>
        <v>9385.3083333333343</v>
      </c>
      <c r="I47" s="101"/>
      <c r="J47" s="101"/>
      <c r="K47" s="101"/>
      <c r="L47" s="101"/>
      <c r="M47" s="101" t="s">
        <v>381</v>
      </c>
    </row>
    <row r="48" spans="2:15" x14ac:dyDescent="0.2">
      <c r="C48" s="107"/>
      <c r="D48" s="114">
        <f>D47</f>
        <v>320522.72000000003</v>
      </c>
      <c r="E48" s="596">
        <f>E47</f>
        <v>4066.2978333333335</v>
      </c>
      <c r="F48" s="108"/>
      <c r="G48" s="114">
        <f>G47</f>
        <v>746038</v>
      </c>
      <c r="H48" s="122">
        <f>SUM(H47)</f>
        <v>9385.3083333333343</v>
      </c>
      <c r="I48" s="101"/>
      <c r="J48" s="101"/>
      <c r="K48" s="101"/>
      <c r="L48" s="101"/>
      <c r="M48" s="101"/>
    </row>
    <row r="49" spans="2:13" x14ac:dyDescent="0.2">
      <c r="D49" s="115"/>
      <c r="F49" s="101"/>
      <c r="G49" s="101"/>
      <c r="H49" s="101"/>
      <c r="I49" s="101"/>
      <c r="J49" s="101"/>
      <c r="K49" s="101"/>
      <c r="L49" s="101"/>
      <c r="M49" s="101"/>
    </row>
    <row r="50" spans="2:13" x14ac:dyDescent="0.2">
      <c r="B50" s="3" t="s">
        <v>383</v>
      </c>
      <c r="C50" s="3"/>
      <c r="D50" s="302">
        <f>+D48+D44+D40+D35+D28+D23+D8</f>
        <v>7564784.6700000009</v>
      </c>
      <c r="E50" s="302">
        <f>+E48+E44+E40+E35+E28+E23+E8</f>
        <v>96772.779916666666</v>
      </c>
      <c r="F50" s="188"/>
      <c r="G50" s="302">
        <f>+G48+G44+G40+G35+G28+G23+G8</f>
        <v>10635233</v>
      </c>
      <c r="H50" s="302">
        <f>+H48+H44+H40+H35+H28+H23+H8</f>
        <v>136173.49166666667</v>
      </c>
      <c r="I50" s="188"/>
      <c r="J50" s="188"/>
      <c r="K50" s="188"/>
      <c r="L50" s="188"/>
      <c r="M50" s="101"/>
    </row>
    <row r="51" spans="2:13" x14ac:dyDescent="0.2">
      <c r="D51" s="101"/>
      <c r="F51" s="101"/>
      <c r="G51" s="101"/>
      <c r="H51" s="101"/>
      <c r="I51" s="101"/>
      <c r="J51" s="101"/>
      <c r="K51" s="101"/>
      <c r="L51" s="101"/>
      <c r="M51" s="101"/>
    </row>
    <row r="52" spans="2:13" x14ac:dyDescent="0.2">
      <c r="D52" s="101"/>
      <c r="F52" s="101"/>
      <c r="G52" s="101" t="s">
        <v>23</v>
      </c>
      <c r="H52" s="101"/>
      <c r="I52" s="101"/>
      <c r="J52" s="101"/>
      <c r="K52" s="101"/>
      <c r="L52" s="101"/>
      <c r="M52" s="101"/>
    </row>
    <row r="53" spans="2:13" x14ac:dyDescent="0.2">
      <c r="D53" s="101">
        <f>+D40+D35+D8+SUM(D13:D22)</f>
        <v>3205227.2</v>
      </c>
      <c r="E53" s="101">
        <f>+E40+E35+E8+SUM(E13:E22)</f>
        <v>40662.978333333333</v>
      </c>
      <c r="F53" s="101" t="s">
        <v>23</v>
      </c>
      <c r="G53" s="101">
        <f>+G40+G35+G8+G23</f>
        <v>7460380</v>
      </c>
      <c r="H53" s="101">
        <f>+H40+H35+H8+SUM(H13:H22)</f>
        <v>93853.083333333343</v>
      </c>
      <c r="I53" s="101"/>
      <c r="J53" s="101"/>
      <c r="K53" s="101"/>
      <c r="L53" s="101"/>
      <c r="M53" s="101" t="s">
        <v>581</v>
      </c>
    </row>
    <row r="54" spans="2:13" x14ac:dyDescent="0.2">
      <c r="D54" s="101">
        <f>+D48+D44+D28+D12</f>
        <v>4359557.4700000007</v>
      </c>
      <c r="E54" s="101">
        <f>+E48+E44+E28+E12</f>
        <v>56109.801583333334</v>
      </c>
      <c r="F54" s="101"/>
      <c r="G54" s="101">
        <f>+G48+G44+G28</f>
        <v>3174853</v>
      </c>
      <c r="H54" s="101">
        <f>+H48+H44+H28+H12</f>
        <v>42320.408333333333</v>
      </c>
      <c r="I54" s="101"/>
      <c r="J54" s="101"/>
      <c r="K54" s="101"/>
      <c r="L54" s="101"/>
      <c r="M54" s="101" t="s">
        <v>582</v>
      </c>
    </row>
    <row r="55" spans="2:13" x14ac:dyDescent="0.2">
      <c r="D55" s="101">
        <f>+D53+D54</f>
        <v>7564784.6700000009</v>
      </c>
      <c r="E55" s="101">
        <f>+E53+E54</f>
        <v>96772.779916666666</v>
      </c>
      <c r="F55" s="101"/>
      <c r="G55" s="101">
        <f>+G53+G54</f>
        <v>10635233</v>
      </c>
      <c r="H55" s="101">
        <f>+H53+H54</f>
        <v>136173.49166666667</v>
      </c>
      <c r="I55" s="101"/>
      <c r="J55" s="101"/>
      <c r="K55" s="101"/>
      <c r="L55" s="101"/>
      <c r="M55" s="101"/>
    </row>
    <row r="56" spans="2:13" x14ac:dyDescent="0.2">
      <c r="D56" s="101"/>
      <c r="F56" s="101"/>
      <c r="G56" s="101"/>
      <c r="H56" s="101"/>
      <c r="I56" s="101"/>
      <c r="J56" s="101"/>
      <c r="K56" s="101"/>
      <c r="L56" s="101"/>
      <c r="M56" s="101"/>
    </row>
    <row r="57" spans="2:13" x14ac:dyDescent="0.2">
      <c r="D57" s="101"/>
      <c r="F57" s="101"/>
      <c r="G57" s="101"/>
      <c r="H57" s="101"/>
      <c r="I57" s="101"/>
      <c r="J57" s="101"/>
      <c r="K57" s="101"/>
      <c r="L57" s="101"/>
      <c r="M57" s="101"/>
    </row>
    <row r="58" spans="2:13" x14ac:dyDescent="0.2">
      <c r="D58" s="101"/>
      <c r="F58" s="101"/>
      <c r="G58" s="101"/>
      <c r="H58" s="101"/>
      <c r="I58" s="101"/>
      <c r="J58" s="101"/>
      <c r="K58" s="101"/>
      <c r="L58" s="101"/>
      <c r="M58" s="101"/>
    </row>
    <row r="59" spans="2:13" x14ac:dyDescent="0.2">
      <c r="D59" s="101"/>
      <c r="F59" s="101"/>
      <c r="G59" s="101"/>
      <c r="H59" s="101"/>
      <c r="I59" s="101"/>
      <c r="J59" s="101"/>
      <c r="K59" s="101"/>
      <c r="L59" s="101"/>
      <c r="M59" s="101"/>
    </row>
    <row r="60" spans="2:13" x14ac:dyDescent="0.2">
      <c r="D60" s="101"/>
      <c r="F60" s="101"/>
      <c r="G60" s="101"/>
      <c r="H60" s="101"/>
      <c r="I60" s="101"/>
      <c r="J60" s="101"/>
      <c r="K60" s="101"/>
      <c r="L60" s="101"/>
      <c r="M60" s="101"/>
    </row>
    <row r="61" spans="2:13" x14ac:dyDescent="0.2">
      <c r="D61" s="101"/>
      <c r="F61" s="101"/>
      <c r="G61" s="101"/>
      <c r="H61" s="101"/>
      <c r="I61" s="101"/>
      <c r="J61" s="101"/>
      <c r="K61" s="101"/>
      <c r="L61" s="101"/>
      <c r="M61" s="101"/>
    </row>
    <row r="62" spans="2:13" x14ac:dyDescent="0.2">
      <c r="D62" s="101"/>
      <c r="F62" s="101"/>
      <c r="G62" s="101"/>
      <c r="H62" s="101"/>
      <c r="I62" s="101"/>
      <c r="J62" s="101"/>
      <c r="K62" s="101"/>
      <c r="L62" s="101"/>
      <c r="M62" s="101"/>
    </row>
    <row r="63" spans="2:13" x14ac:dyDescent="0.2">
      <c r="D63" s="101"/>
      <c r="F63" s="101"/>
      <c r="G63" s="101"/>
      <c r="H63" s="101"/>
      <c r="I63" s="101"/>
      <c r="J63" s="101"/>
      <c r="K63" s="101"/>
      <c r="L63" s="101"/>
      <c r="M63" s="101"/>
    </row>
    <row r="64" spans="2:13" x14ac:dyDescent="0.2">
      <c r="D64" s="101"/>
      <c r="F64" s="101"/>
      <c r="G64" s="101"/>
      <c r="H64" s="101"/>
      <c r="I64" s="101"/>
      <c r="J64" s="101"/>
      <c r="K64" s="101"/>
      <c r="L64" s="101"/>
      <c r="M64" s="101"/>
    </row>
    <row r="65" spans="4:13" x14ac:dyDescent="0.2">
      <c r="D65" s="101"/>
      <c r="F65" s="101"/>
      <c r="G65" s="101"/>
      <c r="H65" s="101"/>
      <c r="I65" s="101"/>
      <c r="J65" s="101"/>
      <c r="K65" s="101"/>
      <c r="L65" s="101"/>
      <c r="M65" s="101"/>
    </row>
    <row r="66" spans="4:13" x14ac:dyDescent="0.2">
      <c r="D66" s="101"/>
      <c r="F66" s="101"/>
      <c r="G66" s="101"/>
      <c r="H66" s="101"/>
      <c r="I66" s="101"/>
      <c r="J66" s="101"/>
      <c r="K66" s="101"/>
      <c r="L66" s="101"/>
      <c r="M66" s="101"/>
    </row>
    <row r="67" spans="4:13" x14ac:dyDescent="0.2">
      <c r="D67" s="101"/>
      <c r="F67" s="101"/>
      <c r="G67" s="101"/>
      <c r="H67" s="101"/>
      <c r="I67" s="101"/>
      <c r="J67" s="101"/>
      <c r="K67" s="101"/>
      <c r="L67" s="101"/>
      <c r="M67" s="101"/>
    </row>
    <row r="68" spans="4:13" x14ac:dyDescent="0.2">
      <c r="D68" s="101"/>
      <c r="F68" s="101"/>
      <c r="G68" s="101"/>
      <c r="H68" s="101"/>
      <c r="I68" s="101"/>
      <c r="J68" s="101"/>
      <c r="K68" s="101"/>
      <c r="L68" s="101"/>
      <c r="M68" s="101"/>
    </row>
    <row r="69" spans="4:13" x14ac:dyDescent="0.2">
      <c r="D69" s="101"/>
      <c r="F69" s="101"/>
      <c r="G69" s="101"/>
      <c r="H69" s="101"/>
      <c r="I69" s="101"/>
      <c r="J69" s="101"/>
      <c r="K69" s="101"/>
      <c r="L69" s="101"/>
      <c r="M69" s="101"/>
    </row>
    <row r="70" spans="4:13" x14ac:dyDescent="0.2">
      <c r="D70" s="101"/>
      <c r="F70" s="101"/>
      <c r="G70" s="101"/>
      <c r="H70" s="101"/>
      <c r="I70" s="101"/>
      <c r="J70" s="101"/>
      <c r="K70" s="101"/>
      <c r="L70" s="101"/>
      <c r="M70" s="101"/>
    </row>
    <row r="71" spans="4:13" x14ac:dyDescent="0.2">
      <c r="D71" s="101"/>
      <c r="F71" s="101"/>
      <c r="G71" s="101"/>
      <c r="H71" s="101"/>
      <c r="I71" s="101"/>
      <c r="J71" s="101"/>
      <c r="K71" s="101"/>
      <c r="L71" s="101"/>
      <c r="M71" s="101"/>
    </row>
    <row r="72" spans="4:13" x14ac:dyDescent="0.2">
      <c r="D72" s="101"/>
      <c r="F72" s="101"/>
      <c r="G72" s="101"/>
      <c r="H72" s="101"/>
      <c r="I72" s="101"/>
      <c r="J72" s="101"/>
      <c r="K72" s="101"/>
      <c r="L72" s="101"/>
      <c r="M72" s="101"/>
    </row>
    <row r="73" spans="4:13" x14ac:dyDescent="0.2">
      <c r="D73" s="101"/>
      <c r="F73" s="101"/>
      <c r="G73" s="101"/>
      <c r="H73" s="101"/>
      <c r="I73" s="101"/>
      <c r="J73" s="101"/>
      <c r="K73" s="101"/>
      <c r="L73" s="101"/>
      <c r="M73" s="101"/>
    </row>
    <row r="74" spans="4:13" x14ac:dyDescent="0.2">
      <c r="D74" s="101"/>
      <c r="F74" s="101"/>
      <c r="G74" s="101"/>
      <c r="H74" s="101"/>
      <c r="I74" s="101"/>
      <c r="J74" s="101"/>
      <c r="K74" s="101"/>
      <c r="L74" s="101"/>
      <c r="M74" s="101"/>
    </row>
    <row r="75" spans="4:13" x14ac:dyDescent="0.2">
      <c r="D75" s="101"/>
      <c r="F75" s="101"/>
      <c r="G75" s="101"/>
      <c r="H75" s="101"/>
      <c r="I75" s="101"/>
      <c r="J75" s="101"/>
      <c r="K75" s="101"/>
      <c r="L75" s="101"/>
      <c r="M75" s="101"/>
    </row>
    <row r="76" spans="4:13" x14ac:dyDescent="0.2">
      <c r="D76" s="101"/>
      <c r="F76" s="101"/>
      <c r="G76" s="101"/>
      <c r="H76" s="101"/>
      <c r="I76" s="101"/>
      <c r="J76" s="101"/>
      <c r="K76" s="101"/>
      <c r="L76" s="101"/>
      <c r="M76" s="101"/>
    </row>
    <row r="77" spans="4:13" x14ac:dyDescent="0.2">
      <c r="D77" s="101"/>
      <c r="F77" s="101"/>
      <c r="G77" s="101"/>
      <c r="H77" s="101"/>
      <c r="I77" s="101"/>
      <c r="J77" s="101"/>
      <c r="K77" s="101"/>
      <c r="L77" s="101"/>
      <c r="M77" s="101"/>
    </row>
    <row r="78" spans="4:13" x14ac:dyDescent="0.2">
      <c r="D78" s="101"/>
      <c r="F78" s="101"/>
      <c r="G78" s="101"/>
      <c r="H78" s="101"/>
      <c r="I78" s="101"/>
      <c r="J78" s="101"/>
      <c r="K78" s="101"/>
      <c r="L78" s="101"/>
      <c r="M78" s="101"/>
    </row>
    <row r="79" spans="4:13" x14ac:dyDescent="0.2">
      <c r="D79" s="101"/>
      <c r="F79" s="101"/>
      <c r="G79" s="101"/>
      <c r="H79" s="101"/>
      <c r="I79" s="101"/>
      <c r="J79" s="101"/>
      <c r="K79" s="101"/>
      <c r="L79" s="101"/>
      <c r="M79" s="101"/>
    </row>
    <row r="80" spans="4:13" x14ac:dyDescent="0.2">
      <c r="D80" s="101"/>
      <c r="F80" s="101"/>
      <c r="G80" s="101"/>
      <c r="H80" s="101"/>
      <c r="I80" s="101"/>
      <c r="J80" s="101"/>
      <c r="K80" s="101"/>
      <c r="L80" s="101"/>
      <c r="M80" s="101"/>
    </row>
    <row r="81" spans="4:13" x14ac:dyDescent="0.2">
      <c r="D81" s="101"/>
      <c r="F81" s="101"/>
      <c r="G81" s="101"/>
      <c r="H81" s="101"/>
      <c r="I81" s="101"/>
      <c r="J81" s="101"/>
      <c r="K81" s="101"/>
      <c r="L81" s="101"/>
      <c r="M81" s="101"/>
    </row>
    <row r="82" spans="4:13" x14ac:dyDescent="0.2">
      <c r="D82" s="101"/>
      <c r="F82" s="101"/>
      <c r="G82" s="101"/>
      <c r="H82" s="101"/>
      <c r="I82" s="101"/>
      <c r="J82" s="101"/>
      <c r="K82" s="101"/>
      <c r="L82" s="101"/>
      <c r="M82" s="101"/>
    </row>
    <row r="83" spans="4:13" x14ac:dyDescent="0.2">
      <c r="D83" s="101"/>
      <c r="F83" s="101"/>
      <c r="G83" s="101"/>
      <c r="H83" s="101"/>
      <c r="I83" s="101"/>
      <c r="J83" s="101"/>
      <c r="K83" s="101"/>
      <c r="L83" s="101"/>
      <c r="M83" s="101"/>
    </row>
    <row r="84" spans="4:13" x14ac:dyDescent="0.2">
      <c r="D84" s="101"/>
      <c r="F84" s="101"/>
      <c r="G84" s="101"/>
      <c r="H84" s="101"/>
      <c r="I84" s="101"/>
      <c r="J84" s="101"/>
      <c r="K84" s="101"/>
      <c r="L84" s="101"/>
      <c r="M84" s="101"/>
    </row>
    <row r="85" spans="4:13" x14ac:dyDescent="0.2">
      <c r="D85" s="101"/>
      <c r="F85" s="101"/>
      <c r="G85" s="101"/>
      <c r="H85" s="101"/>
      <c r="I85" s="101"/>
      <c r="J85" s="101"/>
      <c r="K85" s="101"/>
      <c r="L85" s="101"/>
      <c r="M85" s="101"/>
    </row>
    <row r="86" spans="4:13" x14ac:dyDescent="0.2">
      <c r="D86" s="101"/>
      <c r="F86" s="101"/>
      <c r="G86" s="101"/>
      <c r="H86" s="101"/>
      <c r="I86" s="101"/>
      <c r="J86" s="101"/>
      <c r="K86" s="101"/>
      <c r="L86" s="101"/>
      <c r="M86" s="101"/>
    </row>
    <row r="87" spans="4:13" x14ac:dyDescent="0.2">
      <c r="D87" s="101"/>
      <c r="F87" s="101"/>
      <c r="G87" s="101"/>
      <c r="H87" s="101"/>
      <c r="I87" s="101"/>
      <c r="J87" s="101"/>
      <c r="K87" s="101"/>
      <c r="L87" s="101"/>
      <c r="M87" s="101"/>
    </row>
    <row r="88" spans="4:13" x14ac:dyDescent="0.2">
      <c r="D88" s="101"/>
      <c r="F88" s="101"/>
      <c r="G88" s="101"/>
      <c r="H88" s="101"/>
      <c r="I88" s="101"/>
      <c r="J88" s="101"/>
      <c r="K88" s="101"/>
      <c r="L88" s="101"/>
      <c r="M88" s="101"/>
    </row>
    <row r="89" spans="4:13" x14ac:dyDescent="0.2">
      <c r="D89" s="101"/>
      <c r="F89" s="101"/>
      <c r="G89" s="101"/>
      <c r="H89" s="101"/>
      <c r="I89" s="101"/>
      <c r="J89" s="101"/>
      <c r="K89" s="101"/>
      <c r="L89" s="101"/>
      <c r="M89" s="101"/>
    </row>
    <row r="90" spans="4:13" x14ac:dyDescent="0.2">
      <c r="D90" s="101"/>
      <c r="F90" s="101"/>
      <c r="G90" s="101"/>
      <c r="H90" s="101"/>
      <c r="I90" s="101"/>
      <c r="J90" s="101"/>
      <c r="K90" s="101"/>
      <c r="L90" s="101"/>
      <c r="M90" s="101"/>
    </row>
    <row r="91" spans="4:13" x14ac:dyDescent="0.2">
      <c r="D91" s="101"/>
      <c r="F91" s="101"/>
      <c r="G91" s="101"/>
      <c r="H91" s="101"/>
      <c r="I91" s="101"/>
      <c r="J91" s="101"/>
      <c r="K91" s="101"/>
      <c r="L91" s="101"/>
      <c r="M91" s="101"/>
    </row>
    <row r="92" spans="4:13" x14ac:dyDescent="0.2">
      <c r="D92" s="101"/>
      <c r="F92" s="101"/>
      <c r="G92" s="101"/>
      <c r="H92" s="101"/>
      <c r="I92" s="101"/>
      <c r="J92" s="101"/>
      <c r="K92" s="101"/>
      <c r="L92" s="101"/>
      <c r="M92" s="101"/>
    </row>
    <row r="93" spans="4:13" x14ac:dyDescent="0.2">
      <c r="D93" s="101"/>
      <c r="F93" s="101"/>
      <c r="G93" s="101"/>
      <c r="H93" s="101"/>
      <c r="I93" s="101"/>
      <c r="J93" s="101"/>
      <c r="K93" s="101"/>
      <c r="L93" s="101"/>
      <c r="M93" s="101"/>
    </row>
    <row r="94" spans="4:13" x14ac:dyDescent="0.2">
      <c r="D94" s="101"/>
      <c r="F94" s="101"/>
      <c r="G94" s="101"/>
      <c r="H94" s="101"/>
      <c r="I94" s="101"/>
      <c r="J94" s="101"/>
      <c r="K94" s="101"/>
      <c r="L94" s="101"/>
      <c r="M94" s="101"/>
    </row>
    <row r="95" spans="4:13" x14ac:dyDescent="0.2">
      <c r="D95" s="101"/>
      <c r="F95" s="101"/>
      <c r="G95" s="101"/>
      <c r="H95" s="101"/>
      <c r="I95" s="101"/>
      <c r="J95" s="101"/>
      <c r="K95" s="101"/>
      <c r="L95" s="101"/>
      <c r="M95" s="101"/>
    </row>
    <row r="96" spans="4:13" x14ac:dyDescent="0.2">
      <c r="D96" s="101"/>
      <c r="F96" s="101"/>
      <c r="G96" s="101"/>
      <c r="H96" s="101"/>
      <c r="I96" s="101"/>
      <c r="J96" s="101"/>
      <c r="K96" s="101"/>
      <c r="L96" s="101"/>
      <c r="M96" s="101"/>
    </row>
    <row r="97" spans="4:13" x14ac:dyDescent="0.2">
      <c r="D97" s="101"/>
      <c r="F97" s="101"/>
      <c r="G97" s="101"/>
      <c r="H97" s="101"/>
      <c r="I97" s="101"/>
      <c r="J97" s="101"/>
      <c r="K97" s="101"/>
      <c r="L97" s="101"/>
      <c r="M97" s="101"/>
    </row>
    <row r="98" spans="4:13" x14ac:dyDescent="0.2">
      <c r="D98" s="101"/>
      <c r="F98" s="101"/>
      <c r="G98" s="101"/>
      <c r="H98" s="101"/>
      <c r="I98" s="101"/>
      <c r="J98" s="101"/>
      <c r="K98" s="101"/>
      <c r="L98" s="101"/>
      <c r="M98" s="101"/>
    </row>
    <row r="99" spans="4:13" x14ac:dyDescent="0.2">
      <c r="D99" s="101"/>
      <c r="F99" s="101"/>
      <c r="G99" s="101"/>
      <c r="H99" s="101"/>
      <c r="I99" s="101"/>
      <c r="J99" s="101"/>
      <c r="K99" s="101"/>
      <c r="L99" s="101"/>
      <c r="M99" s="101"/>
    </row>
    <row r="100" spans="4:13" x14ac:dyDescent="0.2">
      <c r="D100" s="101"/>
      <c r="F100" s="101"/>
      <c r="G100" s="101"/>
      <c r="H100" s="101"/>
      <c r="I100" s="101"/>
      <c r="J100" s="101"/>
      <c r="K100" s="101"/>
      <c r="L100" s="101"/>
      <c r="M100" s="101"/>
    </row>
    <row r="101" spans="4:13" x14ac:dyDescent="0.2">
      <c r="D101" s="101"/>
      <c r="F101" s="101"/>
      <c r="G101" s="101"/>
      <c r="H101" s="101"/>
      <c r="I101" s="101"/>
      <c r="J101" s="101"/>
      <c r="K101" s="101"/>
      <c r="L101" s="101"/>
      <c r="M101" s="101"/>
    </row>
    <row r="102" spans="4:13" x14ac:dyDescent="0.2">
      <c r="D102" s="101"/>
      <c r="F102" s="101"/>
      <c r="G102" s="101"/>
      <c r="H102" s="101"/>
      <c r="I102" s="101"/>
      <c r="J102" s="101"/>
      <c r="K102" s="101"/>
      <c r="L102" s="101"/>
      <c r="M102" s="101"/>
    </row>
    <row r="103" spans="4:13" x14ac:dyDescent="0.2">
      <c r="D103" s="101"/>
      <c r="F103" s="101"/>
      <c r="G103" s="101"/>
      <c r="H103" s="101"/>
      <c r="I103" s="101"/>
      <c r="J103" s="101"/>
      <c r="K103" s="101"/>
      <c r="L103" s="101"/>
      <c r="M103" s="101"/>
    </row>
    <row r="104" spans="4:13" x14ac:dyDescent="0.2">
      <c r="D104" s="101"/>
      <c r="F104" s="101"/>
      <c r="G104" s="101"/>
      <c r="H104" s="101"/>
      <c r="I104" s="101"/>
      <c r="J104" s="101"/>
      <c r="K104" s="101"/>
      <c r="L104" s="101"/>
      <c r="M104" s="101"/>
    </row>
    <row r="105" spans="4:13" x14ac:dyDescent="0.2">
      <c r="D105" s="101"/>
      <c r="F105" s="101"/>
      <c r="G105" s="101"/>
      <c r="H105" s="101"/>
      <c r="I105" s="101"/>
      <c r="J105" s="101"/>
      <c r="K105" s="101"/>
      <c r="L105" s="101"/>
      <c r="M105" s="101"/>
    </row>
    <row r="106" spans="4:13" x14ac:dyDescent="0.2">
      <c r="D106" s="101"/>
      <c r="F106" s="101"/>
      <c r="G106" s="101"/>
      <c r="H106" s="101"/>
      <c r="I106" s="101"/>
      <c r="J106" s="101"/>
      <c r="K106" s="101"/>
      <c r="L106" s="101"/>
      <c r="M106" s="101"/>
    </row>
    <row r="107" spans="4:13" x14ac:dyDescent="0.2">
      <c r="D107" s="101"/>
      <c r="F107" s="101"/>
      <c r="G107" s="101"/>
      <c r="H107" s="101"/>
      <c r="I107" s="101"/>
      <c r="J107" s="101"/>
      <c r="K107" s="101"/>
      <c r="L107" s="101"/>
      <c r="M107" s="101"/>
    </row>
    <row r="108" spans="4:13" x14ac:dyDescent="0.2">
      <c r="D108" s="101"/>
      <c r="F108" s="101"/>
      <c r="G108" s="101"/>
      <c r="H108" s="101"/>
      <c r="I108" s="101"/>
      <c r="J108" s="101"/>
      <c r="K108" s="101"/>
      <c r="L108" s="101"/>
      <c r="M108" s="101"/>
    </row>
    <row r="109" spans="4:13" x14ac:dyDescent="0.2">
      <c r="D109" s="101"/>
      <c r="F109" s="101"/>
      <c r="G109" s="101"/>
      <c r="H109" s="101"/>
      <c r="I109" s="101"/>
      <c r="J109" s="101"/>
      <c r="K109" s="101"/>
      <c r="L109" s="101"/>
      <c r="M109" s="101"/>
    </row>
    <row r="110" spans="4:13" x14ac:dyDescent="0.2">
      <c r="D110" s="101"/>
      <c r="F110" s="101"/>
      <c r="G110" s="101"/>
      <c r="H110" s="101"/>
      <c r="I110" s="101"/>
      <c r="J110" s="101"/>
      <c r="K110" s="101"/>
      <c r="L110" s="101"/>
      <c r="M110" s="101"/>
    </row>
    <row r="111" spans="4:13" x14ac:dyDescent="0.2">
      <c r="D111" s="101"/>
      <c r="F111" s="101"/>
      <c r="G111" s="101"/>
      <c r="H111" s="101"/>
      <c r="I111" s="101"/>
      <c r="J111" s="101"/>
      <c r="K111" s="101"/>
      <c r="L111" s="101"/>
      <c r="M111" s="101"/>
    </row>
    <row r="112" spans="4:13" x14ac:dyDescent="0.2">
      <c r="D112" s="101"/>
      <c r="F112" s="101"/>
      <c r="G112" s="101"/>
      <c r="H112" s="101"/>
      <c r="I112" s="101"/>
      <c r="J112" s="101"/>
      <c r="K112" s="101"/>
      <c r="L112" s="101"/>
      <c r="M112" s="101"/>
    </row>
    <row r="113" spans="4:13" x14ac:dyDescent="0.2">
      <c r="D113" s="101"/>
      <c r="F113" s="101"/>
      <c r="G113" s="101"/>
      <c r="H113" s="101"/>
      <c r="I113" s="101"/>
      <c r="J113" s="101"/>
      <c r="K113" s="101"/>
      <c r="L113" s="101"/>
      <c r="M113" s="101"/>
    </row>
    <row r="114" spans="4:13" x14ac:dyDescent="0.2">
      <c r="D114" s="101"/>
      <c r="F114" s="101"/>
      <c r="G114" s="101"/>
      <c r="H114" s="101"/>
      <c r="I114" s="101"/>
      <c r="J114" s="101"/>
      <c r="K114" s="101"/>
      <c r="L114" s="101"/>
      <c r="M114" s="101"/>
    </row>
    <row r="115" spans="4:13" x14ac:dyDescent="0.2">
      <c r="D115" s="101"/>
      <c r="F115" s="101"/>
      <c r="G115" s="101"/>
      <c r="H115" s="101"/>
      <c r="I115" s="101"/>
      <c r="J115" s="101"/>
      <c r="K115" s="101"/>
      <c r="L115" s="101"/>
      <c r="M115" s="101"/>
    </row>
    <row r="116" spans="4:13" x14ac:dyDescent="0.2">
      <c r="D116" s="101"/>
      <c r="F116" s="101"/>
      <c r="G116" s="101"/>
      <c r="H116" s="101"/>
      <c r="I116" s="101"/>
      <c r="J116" s="101"/>
      <c r="K116" s="101"/>
      <c r="L116" s="101"/>
      <c r="M116" s="101"/>
    </row>
    <row r="117" spans="4:13" x14ac:dyDescent="0.2">
      <c r="D117" s="101"/>
      <c r="F117" s="101"/>
      <c r="G117" s="101"/>
      <c r="H117" s="101"/>
      <c r="I117" s="101"/>
      <c r="J117" s="101"/>
      <c r="K117" s="101"/>
      <c r="L117" s="101"/>
      <c r="M117" s="101"/>
    </row>
    <row r="118" spans="4:13" x14ac:dyDescent="0.2">
      <c r="D118" s="101"/>
      <c r="F118" s="101"/>
      <c r="G118" s="101"/>
      <c r="H118" s="101"/>
      <c r="I118" s="101"/>
      <c r="J118" s="101"/>
      <c r="K118" s="101"/>
      <c r="L118" s="101"/>
      <c r="M118" s="101"/>
    </row>
    <row r="119" spans="4:13" x14ac:dyDescent="0.2">
      <c r="D119" s="101"/>
      <c r="F119" s="101"/>
      <c r="G119" s="101"/>
      <c r="H119" s="101"/>
      <c r="I119" s="101"/>
      <c r="J119" s="101"/>
      <c r="K119" s="101"/>
      <c r="L119" s="101"/>
      <c r="M119" s="101"/>
    </row>
    <row r="120" spans="4:13" x14ac:dyDescent="0.2">
      <c r="D120" s="101"/>
      <c r="F120" s="101"/>
      <c r="G120" s="101"/>
      <c r="H120" s="101"/>
      <c r="I120" s="101"/>
      <c r="J120" s="101"/>
      <c r="K120" s="101"/>
      <c r="L120" s="101"/>
      <c r="M120" s="101"/>
    </row>
    <row r="121" spans="4:13" x14ac:dyDescent="0.2">
      <c r="D121" s="101"/>
      <c r="F121" s="101"/>
      <c r="G121" s="101"/>
      <c r="H121" s="101"/>
      <c r="I121" s="101"/>
      <c r="J121" s="101"/>
      <c r="K121" s="101"/>
      <c r="L121" s="101"/>
      <c r="M121" s="101"/>
    </row>
    <row r="122" spans="4:13" x14ac:dyDescent="0.2">
      <c r="D122" s="101"/>
      <c r="F122" s="101"/>
      <c r="G122" s="101"/>
      <c r="H122" s="101"/>
      <c r="I122" s="101"/>
      <c r="J122" s="101"/>
      <c r="K122" s="101"/>
      <c r="L122" s="101"/>
      <c r="M122" s="101"/>
    </row>
    <row r="123" spans="4:13" x14ac:dyDescent="0.2">
      <c r="D123" s="101"/>
      <c r="F123" s="101"/>
      <c r="G123" s="101"/>
      <c r="H123" s="101"/>
      <c r="I123" s="101"/>
      <c r="J123" s="101"/>
      <c r="K123" s="101"/>
      <c r="L123" s="101"/>
      <c r="M123" s="101"/>
    </row>
    <row r="124" spans="4:13" x14ac:dyDescent="0.2">
      <c r="D124" s="101"/>
      <c r="F124" s="101"/>
      <c r="G124" s="101"/>
      <c r="H124" s="101"/>
      <c r="I124" s="101"/>
      <c r="J124" s="101"/>
      <c r="K124" s="101"/>
      <c r="L124" s="101"/>
      <c r="M124" s="101"/>
    </row>
    <row r="125" spans="4:13" x14ac:dyDescent="0.2">
      <c r="D125" s="101"/>
      <c r="F125" s="101"/>
      <c r="G125" s="101"/>
      <c r="H125" s="101"/>
      <c r="I125" s="101"/>
      <c r="J125" s="101"/>
      <c r="K125" s="101"/>
      <c r="L125" s="101"/>
      <c r="M125" s="101"/>
    </row>
    <row r="126" spans="4:13" x14ac:dyDescent="0.2">
      <c r="D126" s="101"/>
      <c r="F126" s="101"/>
      <c r="G126" s="101"/>
      <c r="H126" s="101"/>
      <c r="I126" s="101"/>
      <c r="J126" s="101"/>
      <c r="K126" s="101"/>
      <c r="L126" s="101"/>
      <c r="M126" s="101"/>
    </row>
    <row r="127" spans="4:13" x14ac:dyDescent="0.2">
      <c r="D127" s="101"/>
      <c r="F127" s="101"/>
      <c r="G127" s="101"/>
      <c r="H127" s="101"/>
      <c r="I127" s="101"/>
      <c r="J127" s="101"/>
      <c r="K127" s="101"/>
      <c r="L127" s="101"/>
      <c r="M127" s="101"/>
    </row>
    <row r="128" spans="4:13" x14ac:dyDescent="0.2">
      <c r="D128" s="101"/>
      <c r="F128" s="101"/>
      <c r="G128" s="101"/>
      <c r="H128" s="101"/>
      <c r="I128" s="101"/>
      <c r="J128" s="101"/>
      <c r="K128" s="101"/>
      <c r="L128" s="101"/>
      <c r="M128" s="101"/>
    </row>
    <row r="129" spans="4:13" x14ac:dyDescent="0.2">
      <c r="D129" s="101"/>
      <c r="F129" s="101"/>
      <c r="G129" s="101"/>
      <c r="H129" s="101"/>
      <c r="I129" s="101"/>
      <c r="J129" s="101"/>
      <c r="K129" s="101"/>
      <c r="L129" s="101"/>
      <c r="M129" s="101"/>
    </row>
    <row r="130" spans="4:13" x14ac:dyDescent="0.2">
      <c r="D130" s="101"/>
      <c r="F130" s="101"/>
      <c r="G130" s="101"/>
      <c r="H130" s="101"/>
      <c r="I130" s="101"/>
      <c r="J130" s="101"/>
      <c r="K130" s="101"/>
      <c r="L130" s="101"/>
      <c r="M130" s="101"/>
    </row>
    <row r="131" spans="4:13" x14ac:dyDescent="0.2">
      <c r="D131" s="101"/>
      <c r="F131" s="101"/>
      <c r="G131" s="101"/>
      <c r="H131" s="101"/>
      <c r="I131" s="101"/>
      <c r="J131" s="101"/>
      <c r="K131" s="101"/>
      <c r="L131" s="101"/>
      <c r="M131" s="101"/>
    </row>
    <row r="132" spans="4:13" x14ac:dyDescent="0.2">
      <c r="D132" s="101"/>
      <c r="F132" s="101"/>
      <c r="G132" s="101"/>
      <c r="H132" s="101"/>
      <c r="I132" s="101"/>
      <c r="J132" s="101"/>
      <c r="K132" s="101"/>
      <c r="L132" s="101"/>
      <c r="M132" s="101"/>
    </row>
    <row r="133" spans="4:13" x14ac:dyDescent="0.2">
      <c r="D133" s="101"/>
      <c r="F133" s="101"/>
      <c r="G133" s="101"/>
      <c r="H133" s="101"/>
      <c r="I133" s="101"/>
      <c r="J133" s="101"/>
      <c r="K133" s="101"/>
      <c r="L133" s="101"/>
      <c r="M133" s="101"/>
    </row>
    <row r="134" spans="4:13" x14ac:dyDescent="0.2">
      <c r="D134" s="101"/>
      <c r="F134" s="101"/>
      <c r="G134" s="101"/>
      <c r="H134" s="101"/>
      <c r="I134" s="101"/>
      <c r="J134" s="101"/>
      <c r="K134" s="101"/>
      <c r="L134" s="101"/>
      <c r="M134" s="101"/>
    </row>
    <row r="135" spans="4:13" x14ac:dyDescent="0.2">
      <c r="D135" s="101"/>
      <c r="F135" s="101"/>
      <c r="G135" s="101"/>
      <c r="H135" s="101"/>
      <c r="I135" s="101"/>
      <c r="J135" s="101"/>
      <c r="K135" s="101"/>
      <c r="L135" s="101"/>
      <c r="M135" s="101"/>
    </row>
    <row r="136" spans="4:13" x14ac:dyDescent="0.2">
      <c r="D136" s="101"/>
      <c r="F136" s="101"/>
      <c r="G136" s="101"/>
      <c r="H136" s="101"/>
      <c r="I136" s="101"/>
      <c r="J136" s="101"/>
      <c r="K136" s="101"/>
      <c r="L136" s="101"/>
      <c r="M136" s="101"/>
    </row>
    <row r="137" spans="4:13" x14ac:dyDescent="0.2">
      <c r="D137" s="101"/>
      <c r="F137" s="101"/>
      <c r="G137" s="101"/>
      <c r="H137" s="101"/>
      <c r="I137" s="101"/>
      <c r="J137" s="101"/>
      <c r="K137" s="101"/>
      <c r="L137" s="101"/>
      <c r="M137" s="101"/>
    </row>
    <row r="138" spans="4:13" x14ac:dyDescent="0.2">
      <c r="D138" s="101"/>
      <c r="F138" s="101"/>
      <c r="G138" s="101"/>
      <c r="H138" s="101"/>
      <c r="I138" s="101"/>
      <c r="J138" s="101"/>
      <c r="K138" s="101"/>
      <c r="L138" s="101"/>
      <c r="M138" s="101"/>
    </row>
    <row r="139" spans="4:13" x14ac:dyDescent="0.2">
      <c r="D139" s="101"/>
      <c r="F139" s="101"/>
      <c r="G139" s="101"/>
      <c r="H139" s="101"/>
      <c r="I139" s="101"/>
      <c r="J139" s="101"/>
      <c r="K139" s="101"/>
      <c r="L139" s="101"/>
      <c r="M139" s="101"/>
    </row>
    <row r="140" spans="4:13" x14ac:dyDescent="0.2">
      <c r="D140" s="101"/>
      <c r="F140" s="101"/>
      <c r="G140" s="101"/>
      <c r="H140" s="101"/>
      <c r="I140" s="101"/>
      <c r="J140" s="101"/>
      <c r="K140" s="101"/>
      <c r="L140" s="101"/>
      <c r="M140" s="101"/>
    </row>
    <row r="141" spans="4:13" x14ac:dyDescent="0.2">
      <c r="D141" s="101"/>
      <c r="F141" s="101"/>
      <c r="G141" s="101"/>
      <c r="H141" s="101"/>
      <c r="I141" s="101"/>
      <c r="J141" s="101"/>
      <c r="K141" s="101"/>
      <c r="L141" s="101"/>
      <c r="M141" s="101"/>
    </row>
    <row r="142" spans="4:13" x14ac:dyDescent="0.2">
      <c r="D142" s="101"/>
      <c r="F142" s="101"/>
      <c r="G142" s="101"/>
      <c r="H142" s="101"/>
      <c r="I142" s="101"/>
      <c r="J142" s="101"/>
      <c r="K142" s="101"/>
      <c r="L142" s="101"/>
      <c r="M142" s="101"/>
    </row>
    <row r="143" spans="4:13" x14ac:dyDescent="0.2">
      <c r="D143" s="101"/>
      <c r="F143" s="101"/>
      <c r="G143" s="101"/>
      <c r="H143" s="101"/>
      <c r="I143" s="101"/>
      <c r="J143" s="101"/>
      <c r="K143" s="101"/>
      <c r="L143" s="101"/>
      <c r="M143" s="101"/>
    </row>
    <row r="144" spans="4:13" x14ac:dyDescent="0.2">
      <c r="D144" s="101"/>
      <c r="F144" s="101"/>
      <c r="G144" s="101"/>
      <c r="H144" s="101"/>
      <c r="I144" s="101"/>
      <c r="J144" s="101"/>
      <c r="K144" s="101"/>
      <c r="L144" s="101"/>
      <c r="M144" s="101"/>
    </row>
    <row r="145" spans="4:13" x14ac:dyDescent="0.2">
      <c r="D145" s="101"/>
      <c r="F145" s="101"/>
      <c r="G145" s="101"/>
      <c r="H145" s="101"/>
      <c r="I145" s="101"/>
      <c r="J145" s="101"/>
      <c r="K145" s="101"/>
      <c r="L145" s="101"/>
      <c r="M145" s="101"/>
    </row>
    <row r="146" spans="4:13" x14ac:dyDescent="0.2">
      <c r="D146" s="101"/>
      <c r="F146" s="101"/>
      <c r="G146" s="101"/>
      <c r="H146" s="101"/>
      <c r="I146" s="101"/>
      <c r="J146" s="101"/>
      <c r="K146" s="101"/>
      <c r="L146" s="101"/>
      <c r="M146" s="101"/>
    </row>
    <row r="147" spans="4:13" x14ac:dyDescent="0.2">
      <c r="D147" s="101"/>
      <c r="F147" s="101"/>
      <c r="G147" s="101"/>
      <c r="H147" s="101"/>
      <c r="I147" s="101"/>
      <c r="J147" s="101"/>
      <c r="K147" s="101"/>
      <c r="L147" s="101"/>
      <c r="M147" s="101"/>
    </row>
    <row r="148" spans="4:13" x14ac:dyDescent="0.2">
      <c r="D148" s="101"/>
      <c r="F148" s="101"/>
      <c r="G148" s="101"/>
      <c r="H148" s="101"/>
      <c r="I148" s="101"/>
      <c r="J148" s="101"/>
      <c r="K148" s="101"/>
      <c r="L148" s="101"/>
      <c r="M148" s="101"/>
    </row>
    <row r="149" spans="4:13" x14ac:dyDescent="0.2">
      <c r="D149" s="101"/>
      <c r="F149" s="101"/>
      <c r="G149" s="101"/>
      <c r="H149" s="101"/>
      <c r="I149" s="101"/>
      <c r="J149" s="101"/>
      <c r="K149" s="101"/>
      <c r="L149" s="101"/>
      <c r="M149" s="101"/>
    </row>
    <row r="150" spans="4:13" x14ac:dyDescent="0.2">
      <c r="D150" s="101"/>
      <c r="F150" s="101"/>
      <c r="G150" s="101"/>
      <c r="H150" s="101"/>
      <c r="I150" s="101"/>
      <c r="J150" s="101"/>
      <c r="K150" s="101"/>
      <c r="L150" s="101"/>
      <c r="M150" s="101"/>
    </row>
    <row r="151" spans="4:13" x14ac:dyDescent="0.2">
      <c r="D151" s="101"/>
      <c r="F151" s="101"/>
      <c r="G151" s="101"/>
      <c r="H151" s="101"/>
      <c r="I151" s="101"/>
      <c r="J151" s="101"/>
      <c r="K151" s="101"/>
      <c r="L151" s="101"/>
      <c r="M151" s="101"/>
    </row>
    <row r="152" spans="4:13" x14ac:dyDescent="0.2">
      <c r="D152" s="101"/>
      <c r="F152" s="101"/>
      <c r="G152" s="101"/>
      <c r="H152" s="101"/>
      <c r="I152" s="101"/>
      <c r="J152" s="101"/>
      <c r="K152" s="101"/>
      <c r="L152" s="101"/>
      <c r="M152" s="101"/>
    </row>
    <row r="153" spans="4:13" x14ac:dyDescent="0.2">
      <c r="D153" s="101"/>
      <c r="F153" s="101"/>
      <c r="G153" s="101"/>
      <c r="H153" s="101"/>
      <c r="I153" s="101"/>
      <c r="J153" s="101"/>
      <c r="K153" s="101"/>
      <c r="L153" s="101"/>
      <c r="M153" s="101"/>
    </row>
    <row r="154" spans="4:13" x14ac:dyDescent="0.2">
      <c r="D154" s="101"/>
      <c r="F154" s="101"/>
      <c r="G154" s="101"/>
      <c r="H154" s="101"/>
      <c r="I154" s="101"/>
      <c r="J154" s="101"/>
      <c r="K154" s="101"/>
      <c r="L154" s="101"/>
      <c r="M154" s="101"/>
    </row>
    <row r="155" spans="4:13" x14ac:dyDescent="0.2">
      <c r="D155" s="101"/>
      <c r="F155" s="101"/>
      <c r="G155" s="101"/>
      <c r="H155" s="101"/>
      <c r="I155" s="101"/>
      <c r="J155" s="101"/>
      <c r="K155" s="101"/>
      <c r="L155" s="101"/>
      <c r="M155" s="101"/>
    </row>
    <row r="156" spans="4:13" x14ac:dyDescent="0.2">
      <c r="D156" s="101"/>
      <c r="F156" s="101"/>
      <c r="G156" s="101"/>
      <c r="H156" s="101"/>
      <c r="I156" s="101"/>
      <c r="J156" s="101"/>
      <c r="K156" s="101"/>
      <c r="L156" s="101"/>
      <c r="M156" s="101"/>
    </row>
    <row r="157" spans="4:13" x14ac:dyDescent="0.2">
      <c r="D157" s="101"/>
      <c r="F157" s="101"/>
      <c r="G157" s="101"/>
      <c r="H157" s="101"/>
      <c r="I157" s="101"/>
      <c r="J157" s="101"/>
      <c r="K157" s="101"/>
      <c r="L157" s="101"/>
      <c r="M157" s="101"/>
    </row>
    <row r="158" spans="4:13" x14ac:dyDescent="0.2">
      <c r="D158" s="101"/>
      <c r="F158" s="101"/>
      <c r="G158" s="101"/>
      <c r="H158" s="101"/>
      <c r="I158" s="101"/>
      <c r="J158" s="101"/>
      <c r="K158" s="101"/>
      <c r="L158" s="101"/>
      <c r="M158" s="101"/>
    </row>
    <row r="159" spans="4:13" x14ac:dyDescent="0.2">
      <c r="D159" s="101"/>
      <c r="F159" s="101"/>
      <c r="G159" s="101"/>
      <c r="H159" s="101"/>
      <c r="I159" s="101"/>
      <c r="J159" s="101"/>
      <c r="K159" s="101"/>
      <c r="L159" s="101"/>
      <c r="M159" s="101"/>
    </row>
    <row r="160" spans="4:13" x14ac:dyDescent="0.2">
      <c r="D160" s="101"/>
      <c r="F160" s="101"/>
      <c r="G160" s="101"/>
      <c r="H160" s="101"/>
      <c r="I160" s="101"/>
      <c r="J160" s="101"/>
      <c r="K160" s="101"/>
      <c r="L160" s="101"/>
      <c r="M160" s="101"/>
    </row>
    <row r="161" spans="4:13" x14ac:dyDescent="0.2">
      <c r="D161" s="101"/>
      <c r="F161" s="101"/>
      <c r="G161" s="101"/>
      <c r="H161" s="101"/>
      <c r="I161" s="101"/>
      <c r="J161" s="101"/>
      <c r="K161" s="101"/>
      <c r="L161" s="101"/>
      <c r="M161" s="101"/>
    </row>
    <row r="162" spans="4:13" x14ac:dyDescent="0.2">
      <c r="D162" s="101"/>
      <c r="F162" s="101"/>
      <c r="G162" s="101"/>
      <c r="H162" s="101"/>
      <c r="I162" s="101"/>
      <c r="J162" s="101"/>
      <c r="K162" s="101"/>
      <c r="L162" s="101"/>
      <c r="M162" s="101"/>
    </row>
    <row r="163" spans="4:13" x14ac:dyDescent="0.2">
      <c r="D163" s="101"/>
      <c r="F163" s="101"/>
      <c r="G163" s="101"/>
      <c r="H163" s="101"/>
      <c r="I163" s="101"/>
      <c r="J163" s="101"/>
      <c r="K163" s="101"/>
      <c r="L163" s="101"/>
      <c r="M163" s="101"/>
    </row>
    <row r="164" spans="4:13" x14ac:dyDescent="0.2">
      <c r="D164" s="101"/>
      <c r="F164" s="101"/>
      <c r="G164" s="101"/>
      <c r="H164" s="101"/>
      <c r="I164" s="101"/>
      <c r="J164" s="101"/>
      <c r="K164" s="101"/>
      <c r="L164" s="101"/>
      <c r="M164" s="101"/>
    </row>
    <row r="165" spans="4:13" x14ac:dyDescent="0.2">
      <c r="D165" s="101"/>
      <c r="F165" s="101"/>
      <c r="G165" s="101"/>
      <c r="H165" s="101"/>
      <c r="I165" s="101"/>
      <c r="J165" s="101"/>
      <c r="K165" s="101"/>
      <c r="L165" s="101"/>
      <c r="M165" s="101"/>
    </row>
    <row r="166" spans="4:13" x14ac:dyDescent="0.2">
      <c r="D166" s="101"/>
      <c r="F166" s="101"/>
      <c r="G166" s="101"/>
      <c r="H166" s="101"/>
      <c r="I166" s="101"/>
      <c r="J166" s="101"/>
      <c r="K166" s="101"/>
      <c r="L166" s="101"/>
      <c r="M166" s="101"/>
    </row>
    <row r="167" spans="4:13" x14ac:dyDescent="0.2">
      <c r="D167" s="101"/>
      <c r="F167" s="101"/>
      <c r="G167" s="101"/>
      <c r="H167" s="101"/>
      <c r="I167" s="101"/>
      <c r="J167" s="101"/>
      <c r="K167" s="101"/>
      <c r="L167" s="101"/>
      <c r="M167" s="101"/>
    </row>
    <row r="168" spans="4:13" x14ac:dyDescent="0.2">
      <c r="D168" s="101"/>
      <c r="F168" s="101"/>
      <c r="G168" s="101"/>
      <c r="H168" s="101"/>
      <c r="I168" s="101"/>
      <c r="J168" s="101"/>
      <c r="K168" s="101"/>
      <c r="L168" s="101"/>
      <c r="M168" s="101"/>
    </row>
    <row r="169" spans="4:13" x14ac:dyDescent="0.2">
      <c r="D169" s="101"/>
      <c r="F169" s="101"/>
      <c r="G169" s="101"/>
      <c r="H169" s="101"/>
      <c r="I169" s="101"/>
      <c r="J169" s="101"/>
      <c r="K169" s="101"/>
      <c r="L169" s="101"/>
      <c r="M169" s="101"/>
    </row>
    <row r="170" spans="4:13" x14ac:dyDescent="0.2">
      <c r="D170" s="101"/>
      <c r="F170" s="101"/>
      <c r="G170" s="101"/>
      <c r="H170" s="101"/>
      <c r="I170" s="101"/>
      <c r="J170" s="101"/>
      <c r="K170" s="101"/>
      <c r="L170" s="101"/>
      <c r="M170" s="101"/>
    </row>
    <row r="171" spans="4:13" x14ac:dyDescent="0.2">
      <c r="D171" s="101"/>
      <c r="F171" s="101"/>
      <c r="G171" s="101"/>
      <c r="H171" s="101"/>
      <c r="I171" s="101"/>
      <c r="J171" s="101"/>
      <c r="K171" s="101"/>
      <c r="L171" s="101"/>
      <c r="M171" s="101"/>
    </row>
    <row r="172" spans="4:13" x14ac:dyDescent="0.2">
      <c r="D172" s="101"/>
      <c r="F172" s="101"/>
      <c r="G172" s="101"/>
      <c r="H172" s="101"/>
      <c r="I172" s="101"/>
      <c r="J172" s="101"/>
      <c r="K172" s="101"/>
      <c r="L172" s="101"/>
      <c r="M172" s="101"/>
    </row>
    <row r="173" spans="4:13" x14ac:dyDescent="0.2">
      <c r="D173" s="101"/>
      <c r="F173" s="101"/>
      <c r="G173" s="101"/>
      <c r="H173" s="101"/>
      <c r="I173" s="101"/>
      <c r="J173" s="101"/>
      <c r="K173" s="101"/>
      <c r="L173" s="101"/>
      <c r="M173" s="101"/>
    </row>
    <row r="174" spans="4:13" x14ac:dyDescent="0.2">
      <c r="D174" s="101"/>
      <c r="F174" s="101"/>
      <c r="G174" s="101"/>
      <c r="H174" s="101"/>
      <c r="I174" s="101"/>
      <c r="J174" s="101"/>
      <c r="K174" s="101"/>
      <c r="L174" s="101"/>
      <c r="M174" s="101"/>
    </row>
    <row r="175" spans="4:13" x14ac:dyDescent="0.2">
      <c r="D175" s="101"/>
      <c r="F175" s="101"/>
      <c r="G175" s="101"/>
      <c r="H175" s="101"/>
      <c r="I175" s="101"/>
      <c r="J175" s="101"/>
      <c r="K175" s="101"/>
      <c r="L175" s="101"/>
      <c r="M175" s="101"/>
    </row>
    <row r="176" spans="4:13" x14ac:dyDescent="0.2">
      <c r="D176" s="101"/>
      <c r="F176" s="101"/>
      <c r="G176" s="101"/>
      <c r="H176" s="101"/>
      <c r="I176" s="101"/>
      <c r="J176" s="101"/>
      <c r="K176" s="101"/>
      <c r="L176" s="101"/>
      <c r="M176" s="101"/>
    </row>
    <row r="177" spans="4:13" x14ac:dyDescent="0.2">
      <c r="D177" s="101"/>
      <c r="F177" s="101"/>
      <c r="G177" s="101"/>
      <c r="H177" s="101"/>
      <c r="I177" s="101"/>
      <c r="J177" s="101"/>
      <c r="K177" s="101"/>
      <c r="L177" s="101"/>
      <c r="M177" s="101"/>
    </row>
    <row r="178" spans="4:13" x14ac:dyDescent="0.2">
      <c r="D178" s="101"/>
      <c r="F178" s="101"/>
      <c r="G178" s="101"/>
      <c r="H178" s="101"/>
      <c r="I178" s="101"/>
      <c r="J178" s="101"/>
      <c r="K178" s="101"/>
      <c r="L178" s="101"/>
      <c r="M178" s="101"/>
    </row>
    <row r="179" spans="4:13" x14ac:dyDescent="0.2">
      <c r="D179" s="101"/>
      <c r="F179" s="101"/>
      <c r="G179" s="101"/>
      <c r="H179" s="101"/>
      <c r="I179" s="101"/>
      <c r="J179" s="101"/>
      <c r="K179" s="101"/>
      <c r="L179" s="101"/>
      <c r="M179" s="101"/>
    </row>
  </sheetData>
  <mergeCells count="2">
    <mergeCell ref="D2:E2"/>
    <mergeCell ref="G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Embers 2024 Budget</vt:lpstr>
      <vt:lpstr>2024 BUDGET</vt:lpstr>
      <vt:lpstr>2024 estimates</vt:lpstr>
      <vt:lpstr>Summary</vt:lpstr>
      <vt:lpstr>2024 Budget for HIM</vt:lpstr>
      <vt:lpstr>2024 proposed</vt:lpstr>
      <vt:lpstr>HQ staff</vt:lpstr>
      <vt:lpstr>Communications</vt:lpstr>
      <vt:lpstr>R3G2</vt:lpstr>
      <vt:lpstr>R3G2 - Haejin</vt:lpstr>
      <vt:lpstr>Sahasee Embers</vt:lpstr>
      <vt:lpstr>Legacy</vt:lpstr>
      <vt:lpstr>G.R.A.C.E.</vt:lpstr>
      <vt:lpstr>GRACE Initiative - Haejin</vt:lpstr>
      <vt:lpstr>Cultural Center Staff</vt:lpstr>
      <vt:lpstr>GRACE Initiative Staff</vt:lpstr>
      <vt:lpstr>Legacy Education - Haejin</vt:lpstr>
      <vt:lpstr>Dev Other</vt:lpstr>
      <vt:lpstr>Admin</vt:lpstr>
      <vt:lpstr>Sahasee Embers - Haejin</vt:lpstr>
      <vt:lpstr>'2024 BUDGET'!rate</vt:lpstr>
      <vt:lpstr>rate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Lee</dc:creator>
  <cp:lastModifiedBy>Microsoft Office User</cp:lastModifiedBy>
  <dcterms:created xsi:type="dcterms:W3CDTF">2024-01-02T20:35:15Z</dcterms:created>
  <dcterms:modified xsi:type="dcterms:W3CDTF">2024-09-05T15:08:59Z</dcterms:modified>
</cp:coreProperties>
</file>